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740" tabRatio="676"/>
  </bookViews>
  <sheets>
    <sheet name="Instructions" sheetId="8" r:id="rId1"/>
    <sheet name="Overview" sheetId="7" r:id="rId2"/>
    <sheet name="1. Schools Data Sheet" sheetId="3" r:id="rId3"/>
    <sheet name="2. Projected Funding" sheetId="5" r:id="rId4"/>
    <sheet name="Staffing Base Data" sheetId="2" state="hidden" r:id="rId5"/>
    <sheet name="3. Projected Schools Budget" sheetId="6" r:id="rId6"/>
    <sheet name="Funding Base Data" sheetId="1" state="hidden" r:id="rId7"/>
    <sheet name="Expenditure Base Data" sheetId="4" state="hidden" r:id="rId8"/>
  </sheets>
  <definedNames>
    <definedName name="_xlnm.Print_Area" localSheetId="2">'1. Schools Data Sheet'!$A$1:$K$27</definedName>
    <definedName name="_xlnm.Print_Area" localSheetId="3">'2. Projected Funding'!$A$1:$K$38</definedName>
    <definedName name="_xlnm.Print_Area" localSheetId="5">'3. Projected Schools Budget'!$A$8:$K$122</definedName>
    <definedName name="_xlnm.Print_Area" localSheetId="1">Overview!$A$1:$R$37</definedName>
    <definedName name="_xlnm.Print_Titles" localSheetId="5">'3. Projected Schools Budget'!$3:$7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6" l="1"/>
  <c r="H47" i="6"/>
  <c r="G47" i="6"/>
  <c r="F47" i="6"/>
  <c r="E47" i="6"/>
  <c r="D47" i="6"/>
  <c r="C47" i="6"/>
  <c r="B47" i="6"/>
  <c r="K26" i="2"/>
  <c r="J26" i="2"/>
  <c r="I26" i="2"/>
  <c r="H26" i="2"/>
  <c r="G26" i="2"/>
  <c r="I48" i="6"/>
  <c r="H48" i="6"/>
  <c r="G48" i="6"/>
  <c r="F48" i="6"/>
  <c r="E48" i="6"/>
  <c r="D48" i="6"/>
  <c r="C48" i="6"/>
  <c r="B48" i="6"/>
  <c r="I37" i="4"/>
  <c r="J37" i="4"/>
  <c r="H37" i="4"/>
  <c r="G37" i="4"/>
  <c r="J34" i="4"/>
  <c r="I34" i="4"/>
  <c r="H34" i="4"/>
  <c r="G34" i="4"/>
  <c r="H29" i="2"/>
  <c r="I29" i="2"/>
  <c r="C12" i="6"/>
  <c r="O12" i="6"/>
  <c r="E14" i="3"/>
  <c r="I14" i="3"/>
  <c r="G9" i="5"/>
  <c r="C20" i="2"/>
  <c r="D20" i="2"/>
  <c r="E20" i="2"/>
  <c r="F20" i="2"/>
  <c r="G20" i="2"/>
  <c r="F10" i="6"/>
  <c r="R10" i="6"/>
  <c r="C38" i="5"/>
  <c r="B110" i="6"/>
  <c r="B18" i="7"/>
  <c r="B77" i="6"/>
  <c r="B98" i="6"/>
  <c r="C77" i="6"/>
  <c r="C98" i="6"/>
  <c r="D77" i="6"/>
  <c r="D98" i="6"/>
  <c r="E77" i="6"/>
  <c r="E98" i="6"/>
  <c r="F77" i="6"/>
  <c r="F98" i="6"/>
  <c r="G77" i="6"/>
  <c r="G98" i="6"/>
  <c r="H77" i="6"/>
  <c r="H98" i="6"/>
  <c r="I77" i="6"/>
  <c r="I98" i="6"/>
  <c r="J98" i="6"/>
  <c r="D16" i="7"/>
  <c r="B16" i="7"/>
  <c r="G16" i="7"/>
  <c r="B72" i="6"/>
  <c r="B97" i="6"/>
  <c r="C72" i="6"/>
  <c r="C97" i="6"/>
  <c r="D72" i="6"/>
  <c r="D97" i="6"/>
  <c r="E72" i="6"/>
  <c r="E97" i="6"/>
  <c r="F72" i="6"/>
  <c r="F97" i="6"/>
  <c r="G72" i="6"/>
  <c r="G97" i="6"/>
  <c r="H72" i="6"/>
  <c r="H97" i="6"/>
  <c r="I72" i="6"/>
  <c r="I97" i="6"/>
  <c r="J97" i="6"/>
  <c r="D15" i="7"/>
  <c r="B15" i="7"/>
  <c r="G15" i="7"/>
  <c r="B14" i="7"/>
  <c r="G14" i="7"/>
  <c r="B13" i="7"/>
  <c r="G13" i="7"/>
  <c r="B12" i="7"/>
  <c r="G12" i="7"/>
  <c r="B11" i="7"/>
  <c r="G11" i="7"/>
  <c r="B10" i="7"/>
  <c r="G10" i="7"/>
  <c r="B9" i="7"/>
  <c r="G9" i="7"/>
  <c r="B8" i="7"/>
  <c r="G8" i="7"/>
  <c r="B7" i="7"/>
  <c r="G7" i="7"/>
  <c r="J38" i="5"/>
  <c r="I38" i="5"/>
  <c r="H38" i="5"/>
  <c r="G38" i="5"/>
  <c r="F38" i="5"/>
  <c r="E38" i="5"/>
  <c r="D38" i="5"/>
  <c r="H36" i="2"/>
  <c r="F49" i="2"/>
  <c r="H57" i="2"/>
  <c r="G57" i="2"/>
  <c r="D57" i="2"/>
  <c r="C57" i="2"/>
  <c r="J54" i="2"/>
  <c r="F48" i="2"/>
  <c r="J53" i="2"/>
  <c r="B14" i="6"/>
  <c r="E57" i="2"/>
  <c r="I57" i="2"/>
  <c r="F57" i="2"/>
  <c r="J57" i="2"/>
  <c r="C56" i="2"/>
  <c r="G56" i="2"/>
  <c r="J56" i="2"/>
  <c r="D56" i="2"/>
  <c r="H56" i="2"/>
  <c r="F56" i="2"/>
  <c r="C53" i="2"/>
  <c r="G53" i="2"/>
  <c r="E56" i="2"/>
  <c r="I56" i="2"/>
  <c r="D54" i="2"/>
  <c r="H54" i="2"/>
  <c r="C54" i="2"/>
  <c r="G54" i="2"/>
  <c r="E54" i="2"/>
  <c r="I54" i="2"/>
  <c r="F54" i="2"/>
  <c r="D53" i="2"/>
  <c r="H53" i="2"/>
  <c r="E53" i="2"/>
  <c r="I53" i="2"/>
  <c r="F53" i="2"/>
  <c r="C20" i="6"/>
  <c r="O20" i="6"/>
  <c r="U80" i="6"/>
  <c r="T80" i="6"/>
  <c r="S80" i="6"/>
  <c r="R80" i="6"/>
  <c r="Q80" i="6"/>
  <c r="P80" i="6"/>
  <c r="O80" i="6"/>
  <c r="N80" i="6"/>
  <c r="V80" i="6"/>
  <c r="U75" i="6"/>
  <c r="T75" i="6"/>
  <c r="S75" i="6"/>
  <c r="R75" i="6"/>
  <c r="Q75" i="6"/>
  <c r="P75" i="6"/>
  <c r="O75" i="6"/>
  <c r="N75" i="6"/>
  <c r="V75" i="6"/>
  <c r="V77" i="6"/>
  <c r="U70" i="6"/>
  <c r="T70" i="6"/>
  <c r="S70" i="6"/>
  <c r="R70" i="6"/>
  <c r="Q70" i="6"/>
  <c r="P70" i="6"/>
  <c r="O70" i="6"/>
  <c r="N70" i="6"/>
  <c r="V70" i="6"/>
  <c r="U69" i="6"/>
  <c r="T69" i="6"/>
  <c r="S69" i="6"/>
  <c r="R69" i="6"/>
  <c r="R72" i="6"/>
  <c r="R97" i="6"/>
  <c r="Q69" i="6"/>
  <c r="P69" i="6"/>
  <c r="O69" i="6"/>
  <c r="N69" i="6"/>
  <c r="N72" i="6"/>
  <c r="N97" i="6"/>
  <c r="O72" i="6"/>
  <c r="O97" i="6"/>
  <c r="P72" i="6"/>
  <c r="P97" i="6"/>
  <c r="Q72" i="6"/>
  <c r="Q97" i="6"/>
  <c r="S72" i="6"/>
  <c r="S97" i="6"/>
  <c r="T72" i="6"/>
  <c r="T97" i="6"/>
  <c r="U72" i="6"/>
  <c r="U97" i="6"/>
  <c r="V97" i="6"/>
  <c r="T77" i="6"/>
  <c r="T98" i="6"/>
  <c r="S77" i="6"/>
  <c r="S98" i="6"/>
  <c r="W91" i="6"/>
  <c r="U77" i="6"/>
  <c r="U98" i="6"/>
  <c r="R77" i="6"/>
  <c r="R98" i="6"/>
  <c r="Q77" i="6"/>
  <c r="Q98" i="6"/>
  <c r="P77" i="6"/>
  <c r="P98" i="6"/>
  <c r="O77" i="6"/>
  <c r="O98" i="6"/>
  <c r="N77" i="6"/>
  <c r="N98" i="6"/>
  <c r="K91" i="6"/>
  <c r="D21" i="6"/>
  <c r="P21" i="6"/>
  <c r="U47" i="6"/>
  <c r="T47" i="6"/>
  <c r="S47" i="6"/>
  <c r="R47" i="6"/>
  <c r="Q47" i="6"/>
  <c r="P47" i="6"/>
  <c r="O47" i="6"/>
  <c r="N47" i="6"/>
  <c r="I21" i="6"/>
  <c r="U21" i="6"/>
  <c r="H21" i="6"/>
  <c r="T21" i="6"/>
  <c r="G21" i="6"/>
  <c r="S21" i="6"/>
  <c r="F21" i="6"/>
  <c r="R21" i="6"/>
  <c r="E21" i="6"/>
  <c r="Q21" i="6"/>
  <c r="C21" i="6"/>
  <c r="O21" i="6"/>
  <c r="B21" i="6"/>
  <c r="N21" i="6"/>
  <c r="I20" i="6"/>
  <c r="U20" i="6"/>
  <c r="H20" i="6"/>
  <c r="T20" i="6"/>
  <c r="G20" i="6"/>
  <c r="S20" i="6"/>
  <c r="F20" i="6"/>
  <c r="R20" i="6"/>
  <c r="E20" i="6"/>
  <c r="Q20" i="6"/>
  <c r="D20" i="6"/>
  <c r="P20" i="6"/>
  <c r="B20" i="6"/>
  <c r="N20" i="6"/>
  <c r="H30" i="2"/>
  <c r="I30" i="2"/>
  <c r="I13" i="6"/>
  <c r="U13" i="6"/>
  <c r="H13" i="6"/>
  <c r="T13" i="6"/>
  <c r="G13" i="6"/>
  <c r="S13" i="6"/>
  <c r="F13" i="6"/>
  <c r="R13" i="6"/>
  <c r="E13" i="6"/>
  <c r="Q13" i="6"/>
  <c r="D13" i="6"/>
  <c r="P13" i="6"/>
  <c r="C13" i="6"/>
  <c r="O13" i="6"/>
  <c r="B13" i="6"/>
  <c r="N13" i="6"/>
  <c r="I12" i="6"/>
  <c r="U12" i="6"/>
  <c r="H12" i="6"/>
  <c r="T12" i="6"/>
  <c r="G12" i="6"/>
  <c r="S12" i="6"/>
  <c r="F12" i="6"/>
  <c r="R12" i="6"/>
  <c r="E12" i="6"/>
  <c r="Q12" i="6"/>
  <c r="D12" i="6"/>
  <c r="P12" i="6"/>
  <c r="B12" i="6"/>
  <c r="N12" i="6"/>
  <c r="J9" i="2"/>
  <c r="J10" i="2"/>
  <c r="K10" i="2"/>
  <c r="J11" i="2"/>
  <c r="I9" i="6"/>
  <c r="U9" i="6"/>
  <c r="E9" i="6"/>
  <c r="Q9" i="6"/>
  <c r="D9" i="6"/>
  <c r="P9" i="6"/>
  <c r="C9" i="6"/>
  <c r="O9" i="6"/>
  <c r="B9" i="6"/>
  <c r="N9" i="6"/>
  <c r="H9" i="6"/>
  <c r="T9" i="6"/>
  <c r="G9" i="6"/>
  <c r="S9" i="6"/>
  <c r="F9" i="6"/>
  <c r="R9" i="6"/>
  <c r="I110" i="6"/>
  <c r="I14" i="6"/>
  <c r="U14" i="6"/>
  <c r="H110" i="6"/>
  <c r="G110" i="6"/>
  <c r="F110" i="6"/>
  <c r="E110" i="6"/>
  <c r="Q110" i="6"/>
  <c r="D110" i="6"/>
  <c r="C110" i="6"/>
  <c r="G75" i="1"/>
  <c r="I71" i="1"/>
  <c r="G71" i="1"/>
  <c r="E71" i="1"/>
  <c r="I69" i="1"/>
  <c r="I73" i="1"/>
  <c r="G69" i="1"/>
  <c r="G73" i="1"/>
  <c r="E69" i="1"/>
  <c r="E73" i="1"/>
  <c r="V13" i="6"/>
  <c r="O110" i="6"/>
  <c r="C14" i="6"/>
  <c r="F14" i="6"/>
  <c r="R14" i="6"/>
  <c r="V47" i="6"/>
  <c r="S110" i="6"/>
  <c r="G14" i="6"/>
  <c r="S14" i="6"/>
  <c r="P110" i="6"/>
  <c r="D14" i="6"/>
  <c r="T110" i="6"/>
  <c r="H14" i="6"/>
  <c r="T14" i="6"/>
  <c r="E14" i="6"/>
  <c r="Q14" i="6"/>
  <c r="U110" i="6"/>
  <c r="V20" i="6"/>
  <c r="O14" i="6"/>
  <c r="R110" i="6"/>
  <c r="P14" i="6"/>
  <c r="N14" i="6"/>
  <c r="N110" i="6"/>
  <c r="V69" i="6"/>
  <c r="V72" i="6"/>
  <c r="V9" i="6"/>
  <c r="V98" i="6"/>
  <c r="V12" i="6"/>
  <c r="V21" i="6"/>
  <c r="V110" i="6"/>
  <c r="V14" i="6"/>
  <c r="F35" i="4"/>
  <c r="D35" i="4"/>
  <c r="C35" i="4"/>
  <c r="J52" i="4"/>
  <c r="D52" i="4"/>
  <c r="H52" i="4"/>
  <c r="J50" i="4"/>
  <c r="H50" i="4"/>
  <c r="J80" i="6"/>
  <c r="J75" i="6"/>
  <c r="J77" i="6"/>
  <c r="J70" i="6"/>
  <c r="J69" i="6"/>
  <c r="J72" i="6"/>
  <c r="J21" i="6"/>
  <c r="J14" i="6"/>
  <c r="C22" i="5"/>
  <c r="E53" i="4"/>
  <c r="J23" i="4"/>
  <c r="I23" i="4"/>
  <c r="H23" i="4"/>
  <c r="G23" i="4"/>
  <c r="C22" i="4"/>
  <c r="G22" i="4"/>
  <c r="H22" i="4"/>
  <c r="I22" i="4"/>
  <c r="J22" i="4"/>
  <c r="K22" i="4"/>
  <c r="F9" i="4"/>
  <c r="J9" i="4"/>
  <c r="E9" i="4"/>
  <c r="I9" i="4"/>
  <c r="H9" i="4"/>
  <c r="C9" i="4"/>
  <c r="G9" i="4"/>
  <c r="K9" i="4"/>
  <c r="E45" i="4"/>
  <c r="E28" i="4"/>
  <c r="E37" i="4"/>
  <c r="E44" i="4"/>
  <c r="E51" i="4"/>
  <c r="K23" i="4"/>
  <c r="E73" i="4"/>
  <c r="E66" i="4"/>
  <c r="E61" i="4"/>
  <c r="E55" i="4"/>
  <c r="E47" i="4"/>
  <c r="E31" i="4"/>
  <c r="E25" i="4"/>
  <c r="E19" i="4"/>
  <c r="E13" i="4"/>
  <c r="C53" i="4"/>
  <c r="C28" i="4"/>
  <c r="C37" i="4"/>
  <c r="C39" i="4"/>
  <c r="C45" i="4"/>
  <c r="C70" i="4"/>
  <c r="C13" i="4"/>
  <c r="C25" i="4"/>
  <c r="C73" i="4"/>
  <c r="C66" i="4"/>
  <c r="C61" i="4"/>
  <c r="C55" i="4"/>
  <c r="C47" i="4"/>
  <c r="C31" i="4"/>
  <c r="C19" i="4"/>
  <c r="F37" i="4"/>
  <c r="F39" i="4"/>
  <c r="F28" i="4"/>
  <c r="F31" i="4"/>
  <c r="F13" i="4"/>
  <c r="F73" i="4"/>
  <c r="F66" i="4"/>
  <c r="F61" i="4"/>
  <c r="F55" i="4"/>
  <c r="F47" i="4"/>
  <c r="F25" i="4"/>
  <c r="F19" i="4"/>
  <c r="D73" i="4"/>
  <c r="D66" i="4"/>
  <c r="D61" i="4"/>
  <c r="D28" i="4"/>
  <c r="D29" i="4"/>
  <c r="D31" i="4"/>
  <c r="D34" i="4"/>
  <c r="D37" i="4"/>
  <c r="D39" i="4"/>
  <c r="D51" i="4"/>
  <c r="D53" i="4"/>
  <c r="D55" i="4"/>
  <c r="D44" i="4"/>
  <c r="D45" i="4"/>
  <c r="D47" i="4"/>
  <c r="D13" i="4"/>
  <c r="D25" i="4"/>
  <c r="D19" i="4"/>
  <c r="A5" i="6"/>
  <c r="M5" i="6"/>
  <c r="D5" i="5"/>
  <c r="I36" i="2"/>
  <c r="J34" i="2"/>
  <c r="I34" i="2"/>
  <c r="H34" i="2"/>
  <c r="G34" i="2"/>
  <c r="J15" i="2"/>
  <c r="J12" i="2"/>
  <c r="I15" i="2"/>
  <c r="I12" i="2"/>
  <c r="H15" i="2"/>
  <c r="H12" i="2"/>
  <c r="G15" i="2"/>
  <c r="G12" i="2"/>
  <c r="J14" i="2"/>
  <c r="I14" i="2"/>
  <c r="H14" i="2"/>
  <c r="G14" i="2"/>
  <c r="J7" i="5"/>
  <c r="I7" i="6"/>
  <c r="U7" i="6"/>
  <c r="I7" i="5"/>
  <c r="H7" i="6"/>
  <c r="T7" i="6"/>
  <c r="H7" i="5"/>
  <c r="G7" i="6"/>
  <c r="S7" i="6"/>
  <c r="G7" i="5"/>
  <c r="F7" i="6"/>
  <c r="R7" i="6"/>
  <c r="F7" i="5"/>
  <c r="E7" i="6"/>
  <c r="Q7" i="6"/>
  <c r="E7" i="5"/>
  <c r="D7" i="6"/>
  <c r="P7" i="6"/>
  <c r="D7" i="5"/>
  <c r="C7" i="6"/>
  <c r="O7" i="6"/>
  <c r="C7" i="5"/>
  <c r="B7" i="6"/>
  <c r="N7" i="6"/>
  <c r="J26" i="5"/>
  <c r="I26" i="5"/>
  <c r="H26" i="5"/>
  <c r="G26" i="5"/>
  <c r="F26" i="5"/>
  <c r="E26" i="5"/>
  <c r="D26" i="5"/>
  <c r="C26" i="5"/>
  <c r="J34" i="5"/>
  <c r="I115" i="6"/>
  <c r="I34" i="5"/>
  <c r="H115" i="6"/>
  <c r="H34" i="5"/>
  <c r="G115" i="6"/>
  <c r="G34" i="5"/>
  <c r="F115" i="6"/>
  <c r="F34" i="5"/>
  <c r="E115" i="6"/>
  <c r="E34" i="5"/>
  <c r="D115" i="6"/>
  <c r="D34" i="5"/>
  <c r="C115" i="6"/>
  <c r="C34" i="5"/>
  <c r="B115" i="6"/>
  <c r="J30" i="5"/>
  <c r="I109" i="6"/>
  <c r="I30" i="5"/>
  <c r="H109" i="6"/>
  <c r="H30" i="5"/>
  <c r="G109" i="6"/>
  <c r="G30" i="5"/>
  <c r="F109" i="6"/>
  <c r="F30" i="5"/>
  <c r="E109" i="6"/>
  <c r="E30" i="5"/>
  <c r="D109" i="6"/>
  <c r="D30" i="5"/>
  <c r="C109" i="6"/>
  <c r="C30" i="5"/>
  <c r="B109" i="6"/>
  <c r="D22" i="5"/>
  <c r="J23" i="5"/>
  <c r="I45" i="6"/>
  <c r="U45" i="6"/>
  <c r="I23" i="5"/>
  <c r="H45" i="6"/>
  <c r="T45" i="6"/>
  <c r="H23" i="5"/>
  <c r="G45" i="6"/>
  <c r="S45" i="6"/>
  <c r="G23" i="5"/>
  <c r="F45" i="6"/>
  <c r="R45" i="6"/>
  <c r="F23" i="5"/>
  <c r="E45" i="6"/>
  <c r="Q45" i="6"/>
  <c r="E23" i="5"/>
  <c r="D45" i="6"/>
  <c r="P45" i="6"/>
  <c r="D23" i="5"/>
  <c r="C45" i="6"/>
  <c r="O45" i="6"/>
  <c r="C23" i="5"/>
  <c r="B45" i="6"/>
  <c r="N45" i="6"/>
  <c r="J9" i="5"/>
  <c r="I9" i="5"/>
  <c r="H9" i="5"/>
  <c r="F9" i="5"/>
  <c r="E9" i="5"/>
  <c r="D9" i="5"/>
  <c r="C9" i="5"/>
  <c r="T115" i="6"/>
  <c r="Q115" i="6"/>
  <c r="U115" i="6"/>
  <c r="E10" i="6"/>
  <c r="Q10" i="6"/>
  <c r="C6" i="4"/>
  <c r="G28" i="4"/>
  <c r="D6" i="4"/>
  <c r="H28" i="4"/>
  <c r="E6" i="4"/>
  <c r="I28" i="4"/>
  <c r="F6" i="4"/>
  <c r="J28" i="4"/>
  <c r="K28" i="4"/>
  <c r="E38" i="6"/>
  <c r="Q38" i="6"/>
  <c r="G29" i="4"/>
  <c r="H29" i="4"/>
  <c r="I29" i="4"/>
  <c r="J29" i="4"/>
  <c r="K29" i="4"/>
  <c r="E39" i="6"/>
  <c r="Q39" i="6"/>
  <c r="Q41" i="6"/>
  <c r="Q93" i="6"/>
  <c r="E11" i="6"/>
  <c r="Q11" i="6"/>
  <c r="F32" i="5"/>
  <c r="E111" i="6"/>
  <c r="E61" i="6"/>
  <c r="Q61" i="6"/>
  <c r="E54" i="6"/>
  <c r="Q54" i="6"/>
  <c r="E32" i="6"/>
  <c r="Q32" i="6"/>
  <c r="E63" i="6"/>
  <c r="Q63" i="6"/>
  <c r="E33" i="6"/>
  <c r="Q33" i="6"/>
  <c r="I39" i="6"/>
  <c r="U39" i="6"/>
  <c r="I11" i="6"/>
  <c r="U11" i="6"/>
  <c r="I38" i="6"/>
  <c r="U38" i="6"/>
  <c r="U41" i="6"/>
  <c r="U93" i="6"/>
  <c r="I10" i="6"/>
  <c r="U10" i="6"/>
  <c r="U16" i="6"/>
  <c r="U89" i="6"/>
  <c r="J32" i="5"/>
  <c r="I111" i="6"/>
  <c r="I54" i="6"/>
  <c r="U54" i="6"/>
  <c r="I63" i="6"/>
  <c r="U63" i="6"/>
  <c r="I61" i="6"/>
  <c r="U61" i="6"/>
  <c r="I32" i="6"/>
  <c r="U32" i="6"/>
  <c r="I33" i="6"/>
  <c r="U33" i="6"/>
  <c r="B27" i="6"/>
  <c r="N109" i="6"/>
  <c r="B26" i="6"/>
  <c r="R109" i="6"/>
  <c r="F26" i="6"/>
  <c r="F27" i="6"/>
  <c r="R27" i="6"/>
  <c r="B39" i="6"/>
  <c r="N39" i="6"/>
  <c r="B11" i="6"/>
  <c r="N11" i="6"/>
  <c r="B10" i="6"/>
  <c r="N10" i="6"/>
  <c r="B38" i="6"/>
  <c r="N38" i="6"/>
  <c r="N41" i="6"/>
  <c r="N93" i="6"/>
  <c r="B61" i="6"/>
  <c r="N61" i="6"/>
  <c r="B54" i="6"/>
  <c r="N54" i="6"/>
  <c r="B32" i="6"/>
  <c r="N32" i="6"/>
  <c r="B33" i="6"/>
  <c r="N33" i="6"/>
  <c r="N35" i="6"/>
  <c r="N92" i="6"/>
  <c r="B63" i="6"/>
  <c r="N63" i="6"/>
  <c r="C32" i="5"/>
  <c r="B111" i="6"/>
  <c r="V45" i="6"/>
  <c r="O109" i="6"/>
  <c r="C27" i="6"/>
  <c r="O27" i="6"/>
  <c r="C26" i="6"/>
  <c r="S109" i="6"/>
  <c r="G27" i="6"/>
  <c r="S27" i="6"/>
  <c r="G26" i="6"/>
  <c r="N115" i="6"/>
  <c r="R115" i="6"/>
  <c r="G38" i="6"/>
  <c r="S38" i="6"/>
  <c r="G10" i="6"/>
  <c r="S10" i="6"/>
  <c r="G39" i="6"/>
  <c r="S39" i="6"/>
  <c r="G11" i="6"/>
  <c r="S11" i="6"/>
  <c r="G61" i="6"/>
  <c r="S61" i="6"/>
  <c r="G32" i="6"/>
  <c r="S32" i="6"/>
  <c r="G63" i="6"/>
  <c r="S63" i="6"/>
  <c r="G33" i="6"/>
  <c r="S33" i="6"/>
  <c r="G54" i="6"/>
  <c r="S54" i="6"/>
  <c r="H32" i="5"/>
  <c r="G111" i="6"/>
  <c r="D27" i="6"/>
  <c r="P27" i="6"/>
  <c r="D26" i="6"/>
  <c r="P109" i="6"/>
  <c r="O115" i="6"/>
  <c r="P115" i="6"/>
  <c r="C10" i="6"/>
  <c r="O10" i="6"/>
  <c r="C11" i="6"/>
  <c r="O11" i="6"/>
  <c r="O16" i="6"/>
  <c r="O89" i="6"/>
  <c r="C39" i="6"/>
  <c r="O39" i="6"/>
  <c r="C38" i="6"/>
  <c r="O38" i="6"/>
  <c r="C63" i="6"/>
  <c r="O63" i="6"/>
  <c r="C33" i="6"/>
  <c r="O33" i="6"/>
  <c r="C54" i="6"/>
  <c r="O54" i="6"/>
  <c r="C32" i="6"/>
  <c r="O32" i="6"/>
  <c r="D32" i="5"/>
  <c r="C111" i="6"/>
  <c r="C61" i="6"/>
  <c r="O61" i="6"/>
  <c r="H27" i="6"/>
  <c r="T27" i="6"/>
  <c r="H26" i="6"/>
  <c r="T109" i="6"/>
  <c r="S115" i="6"/>
  <c r="D39" i="6"/>
  <c r="P39" i="6"/>
  <c r="D11" i="6"/>
  <c r="P11" i="6"/>
  <c r="D38" i="6"/>
  <c r="P38" i="6"/>
  <c r="P41" i="6"/>
  <c r="P93" i="6"/>
  <c r="D10" i="6"/>
  <c r="P10" i="6"/>
  <c r="E32" i="5"/>
  <c r="D111" i="6"/>
  <c r="D33" i="6"/>
  <c r="P33" i="6"/>
  <c r="D63" i="6"/>
  <c r="P63" i="6"/>
  <c r="D32" i="6"/>
  <c r="P32" i="6"/>
  <c r="D61" i="6"/>
  <c r="P61" i="6"/>
  <c r="D54" i="6"/>
  <c r="P54" i="6"/>
  <c r="H10" i="6"/>
  <c r="T10" i="6"/>
  <c r="H38" i="6"/>
  <c r="T38" i="6"/>
  <c r="H39" i="6"/>
  <c r="T39" i="6"/>
  <c r="T41" i="6"/>
  <c r="T93" i="6"/>
  <c r="H11" i="6"/>
  <c r="T11" i="6"/>
  <c r="H63" i="6"/>
  <c r="T63" i="6"/>
  <c r="H33" i="6"/>
  <c r="T33" i="6"/>
  <c r="I32" i="5"/>
  <c r="H111" i="6"/>
  <c r="H61" i="6"/>
  <c r="T61" i="6"/>
  <c r="H32" i="6"/>
  <c r="T32" i="6"/>
  <c r="H54" i="6"/>
  <c r="T54" i="6"/>
  <c r="E26" i="6"/>
  <c r="Q109" i="6"/>
  <c r="E27" i="6"/>
  <c r="Q27" i="6"/>
  <c r="U109" i="6"/>
  <c r="I26" i="6"/>
  <c r="I27" i="6"/>
  <c r="U27" i="6"/>
  <c r="F38" i="6"/>
  <c r="R38" i="6"/>
  <c r="F11" i="6"/>
  <c r="F16" i="6"/>
  <c r="F39" i="6"/>
  <c r="R39" i="6"/>
  <c r="R11" i="6"/>
  <c r="V11" i="6"/>
  <c r="F63" i="6"/>
  <c r="R63" i="6"/>
  <c r="V63" i="6"/>
  <c r="F61" i="6"/>
  <c r="R61" i="6"/>
  <c r="F54" i="6"/>
  <c r="R54" i="6"/>
  <c r="G32" i="5"/>
  <c r="F111" i="6"/>
  <c r="F33" i="6"/>
  <c r="R33" i="6"/>
  <c r="F32" i="6"/>
  <c r="R32" i="6"/>
  <c r="H15" i="5"/>
  <c r="G82" i="6"/>
  <c r="S82" i="6"/>
  <c r="G19" i="6"/>
  <c r="S19" i="6"/>
  <c r="S23" i="6"/>
  <c r="S90" i="6"/>
  <c r="J15" i="5"/>
  <c r="I19" i="6"/>
  <c r="U19" i="6"/>
  <c r="U23" i="6"/>
  <c r="U90" i="6"/>
  <c r="I82" i="6"/>
  <c r="U82" i="6"/>
  <c r="C82" i="6"/>
  <c r="O82" i="6"/>
  <c r="C19" i="6"/>
  <c r="E15" i="5"/>
  <c r="D82" i="6"/>
  <c r="P82" i="6"/>
  <c r="D19" i="6"/>
  <c r="I15" i="5"/>
  <c r="H19" i="6"/>
  <c r="T19" i="6"/>
  <c r="T23" i="6"/>
  <c r="T90" i="6"/>
  <c r="F15" i="5"/>
  <c r="E82" i="6"/>
  <c r="Q82" i="6"/>
  <c r="E19" i="6"/>
  <c r="C11" i="5"/>
  <c r="B19" i="6"/>
  <c r="N19" i="6"/>
  <c r="N23" i="6"/>
  <c r="N90" i="6"/>
  <c r="G15" i="5"/>
  <c r="F82" i="6"/>
  <c r="R82" i="6"/>
  <c r="F19" i="6"/>
  <c r="R19" i="6"/>
  <c r="J45" i="6"/>
  <c r="J9" i="6"/>
  <c r="J115" i="6"/>
  <c r="D28" i="7"/>
  <c r="J109" i="6"/>
  <c r="J110" i="6"/>
  <c r="D16" i="6"/>
  <c r="H16" i="6"/>
  <c r="J12" i="6"/>
  <c r="J13" i="6"/>
  <c r="J47" i="6"/>
  <c r="D11" i="5"/>
  <c r="G19" i="5"/>
  <c r="C19" i="5"/>
  <c r="D19" i="5"/>
  <c r="C14" i="5"/>
  <c r="H19" i="5"/>
  <c r="C17" i="5"/>
  <c r="E19" i="5"/>
  <c r="I19" i="5"/>
  <c r="G17" i="5"/>
  <c r="F19" i="5"/>
  <c r="J19" i="5"/>
  <c r="G14" i="5"/>
  <c r="D17" i="5"/>
  <c r="H17" i="5"/>
  <c r="C15" i="5"/>
  <c r="E17" i="5"/>
  <c r="I17" i="5"/>
  <c r="F17" i="5"/>
  <c r="J17" i="5"/>
  <c r="D14" i="5"/>
  <c r="H14" i="5"/>
  <c r="D15" i="5"/>
  <c r="E14" i="5"/>
  <c r="I14" i="5"/>
  <c r="F14" i="5"/>
  <c r="J14" i="5"/>
  <c r="E11" i="5"/>
  <c r="J11" i="5"/>
  <c r="I11" i="5"/>
  <c r="G11" i="5"/>
  <c r="H11" i="5"/>
  <c r="F11" i="5"/>
  <c r="F31" i="2"/>
  <c r="D31" i="2"/>
  <c r="C37" i="2"/>
  <c r="C31" i="2"/>
  <c r="C36" i="2"/>
  <c r="E31" i="2"/>
  <c r="V33" i="6"/>
  <c r="T35" i="6"/>
  <c r="T92" i="6"/>
  <c r="T16" i="6"/>
  <c r="T89" i="6"/>
  <c r="N16" i="6"/>
  <c r="N89" i="6"/>
  <c r="Q16" i="6"/>
  <c r="Q89" i="6"/>
  <c r="S35" i="6"/>
  <c r="S92" i="6"/>
  <c r="S16" i="6"/>
  <c r="S89" i="6"/>
  <c r="V109" i="6"/>
  <c r="D23" i="6"/>
  <c r="D90" i="6"/>
  <c r="P19" i="6"/>
  <c r="P23" i="6"/>
  <c r="P90" i="6"/>
  <c r="I16" i="6"/>
  <c r="I89" i="6"/>
  <c r="C46" i="6"/>
  <c r="O46" i="6"/>
  <c r="O111" i="6"/>
  <c r="V115" i="6"/>
  <c r="R26" i="6"/>
  <c r="R29" i="6"/>
  <c r="R91" i="6"/>
  <c r="F29" i="6"/>
  <c r="F91" i="6"/>
  <c r="N27" i="6"/>
  <c r="V27" i="6"/>
  <c r="J27" i="6"/>
  <c r="B29" i="6"/>
  <c r="B91" i="6"/>
  <c r="E16" i="6"/>
  <c r="E35" i="6"/>
  <c r="E92" i="6"/>
  <c r="H82" i="6"/>
  <c r="T82" i="6"/>
  <c r="D35" i="6"/>
  <c r="D92" i="6"/>
  <c r="V39" i="6"/>
  <c r="U26" i="6"/>
  <c r="U29" i="6"/>
  <c r="U91" i="6"/>
  <c r="I29" i="6"/>
  <c r="I91" i="6"/>
  <c r="Q26" i="6"/>
  <c r="Q29" i="6"/>
  <c r="Q91" i="6"/>
  <c r="E29" i="6"/>
  <c r="E91" i="6"/>
  <c r="H46" i="6"/>
  <c r="T46" i="6"/>
  <c r="T111" i="6"/>
  <c r="D46" i="6"/>
  <c r="P46" i="6"/>
  <c r="P111" i="6"/>
  <c r="T26" i="6"/>
  <c r="T29" i="6"/>
  <c r="T91" i="6"/>
  <c r="H29" i="6"/>
  <c r="H91" i="6"/>
  <c r="O35" i="6"/>
  <c r="O92" i="6"/>
  <c r="O41" i="6"/>
  <c r="O93" i="6"/>
  <c r="S41" i="6"/>
  <c r="S93" i="6"/>
  <c r="O26" i="6"/>
  <c r="O29" i="6"/>
  <c r="O91" i="6"/>
  <c r="C29" i="6"/>
  <c r="C91" i="6"/>
  <c r="B46" i="6"/>
  <c r="N46" i="6"/>
  <c r="N111" i="6"/>
  <c r="Q35" i="6"/>
  <c r="Q92" i="6"/>
  <c r="C23" i="6"/>
  <c r="C90" i="6"/>
  <c r="O19" i="6"/>
  <c r="O23" i="6"/>
  <c r="O90" i="6"/>
  <c r="E23" i="6"/>
  <c r="E90" i="6"/>
  <c r="Q19" i="6"/>
  <c r="Q23" i="6"/>
  <c r="Q90" i="6"/>
  <c r="C35" i="6"/>
  <c r="C92" i="6"/>
  <c r="G46" i="6"/>
  <c r="S46" i="6"/>
  <c r="S111" i="6"/>
  <c r="E46" i="6"/>
  <c r="Q46" i="6"/>
  <c r="Q111" i="6"/>
  <c r="B16" i="6"/>
  <c r="B89" i="6"/>
  <c r="G16" i="6"/>
  <c r="C16" i="6"/>
  <c r="C89" i="6"/>
  <c r="P35" i="6"/>
  <c r="P92" i="6"/>
  <c r="P16" i="6"/>
  <c r="P89" i="6"/>
  <c r="P26" i="6"/>
  <c r="P29" i="6"/>
  <c r="P91" i="6"/>
  <c r="D29" i="6"/>
  <c r="D91" i="6"/>
  <c r="S26" i="6"/>
  <c r="S29" i="6"/>
  <c r="S91" i="6"/>
  <c r="G29" i="6"/>
  <c r="G91" i="6"/>
  <c r="N26" i="6"/>
  <c r="J26" i="6"/>
  <c r="J29" i="6"/>
  <c r="U35" i="6"/>
  <c r="U92" i="6"/>
  <c r="I46" i="6"/>
  <c r="U46" i="6"/>
  <c r="U111" i="6"/>
  <c r="R35" i="6"/>
  <c r="R92" i="6"/>
  <c r="V32" i="6"/>
  <c r="V35" i="6"/>
  <c r="V61" i="6"/>
  <c r="J10" i="6"/>
  <c r="F46" i="6"/>
  <c r="R111" i="6"/>
  <c r="V54" i="6"/>
  <c r="J111" i="6"/>
  <c r="R23" i="6"/>
  <c r="R90" i="6"/>
  <c r="V19" i="6"/>
  <c r="V23" i="6"/>
  <c r="R41" i="6"/>
  <c r="V38" i="6"/>
  <c r="J61" i="6"/>
  <c r="J19" i="6"/>
  <c r="I45" i="4"/>
  <c r="I53" i="4"/>
  <c r="I70" i="4"/>
  <c r="I51" i="4"/>
  <c r="I44" i="4"/>
  <c r="I42" i="4"/>
  <c r="J70" i="4"/>
  <c r="J42" i="4"/>
  <c r="J51" i="4"/>
  <c r="J45" i="4"/>
  <c r="J44" i="4"/>
  <c r="J53" i="4"/>
  <c r="H53" i="4"/>
  <c r="H42" i="4"/>
  <c r="H70" i="4"/>
  <c r="H44" i="4"/>
  <c r="H51" i="4"/>
  <c r="H45" i="4"/>
  <c r="G53" i="4"/>
  <c r="K53" i="4"/>
  <c r="G45" i="4"/>
  <c r="G44" i="4"/>
  <c r="K37" i="4"/>
  <c r="G70" i="4"/>
  <c r="G51" i="4"/>
  <c r="K51" i="4"/>
  <c r="G42" i="4"/>
  <c r="K42" i="4"/>
  <c r="J11" i="6"/>
  <c r="J16" i="6"/>
  <c r="J33" i="6"/>
  <c r="J32" i="6"/>
  <c r="B35" i="6"/>
  <c r="B92" i="6"/>
  <c r="I35" i="6"/>
  <c r="I92" i="6"/>
  <c r="G35" i="6"/>
  <c r="G92" i="6"/>
  <c r="F35" i="6"/>
  <c r="F92" i="6"/>
  <c r="J54" i="6"/>
  <c r="B82" i="6"/>
  <c r="J63" i="6"/>
  <c r="H35" i="6"/>
  <c r="H92" i="6"/>
  <c r="E89" i="6"/>
  <c r="G89" i="6"/>
  <c r="D89" i="6"/>
  <c r="H89" i="6"/>
  <c r="F23" i="6"/>
  <c r="F89" i="6"/>
  <c r="B23" i="6"/>
  <c r="D28" i="5"/>
  <c r="C28" i="5"/>
  <c r="E22" i="5"/>
  <c r="E28" i="5"/>
  <c r="F48" i="1"/>
  <c r="F43" i="1"/>
  <c r="D48" i="1"/>
  <c r="D43" i="1"/>
  <c r="C48" i="1"/>
  <c r="C43" i="1"/>
  <c r="E48" i="1"/>
  <c r="E43" i="1"/>
  <c r="E31" i="1"/>
  <c r="E35" i="4"/>
  <c r="E39" i="4"/>
  <c r="V90" i="6"/>
  <c r="V111" i="6"/>
  <c r="J91" i="6"/>
  <c r="D9" i="7"/>
  <c r="N29" i="6"/>
  <c r="N91" i="6"/>
  <c r="V26" i="6"/>
  <c r="V29" i="6"/>
  <c r="V41" i="6"/>
  <c r="V92" i="6"/>
  <c r="J82" i="6"/>
  <c r="N82" i="6"/>
  <c r="V82" i="6"/>
  <c r="R46" i="6"/>
  <c r="V46" i="6"/>
  <c r="J46" i="6"/>
  <c r="V10" i="6"/>
  <c r="V16" i="6"/>
  <c r="R16" i="6"/>
  <c r="R89" i="6"/>
  <c r="V89" i="6"/>
  <c r="R93" i="6"/>
  <c r="V93" i="6"/>
  <c r="J35" i="6"/>
  <c r="E64" i="6"/>
  <c r="Q64" i="6"/>
  <c r="G64" i="6"/>
  <c r="S64" i="6"/>
  <c r="F64" i="6"/>
  <c r="R64" i="6"/>
  <c r="B64" i="6"/>
  <c r="N64" i="6"/>
  <c r="I64" i="6"/>
  <c r="U64" i="6"/>
  <c r="D64" i="6"/>
  <c r="P64" i="6"/>
  <c r="C64" i="6"/>
  <c r="O64" i="6"/>
  <c r="H64" i="6"/>
  <c r="T64" i="6"/>
  <c r="I62" i="6"/>
  <c r="U62" i="6"/>
  <c r="G62" i="6"/>
  <c r="C62" i="6"/>
  <c r="H62" i="6"/>
  <c r="T62" i="6"/>
  <c r="E62" i="6"/>
  <c r="B62" i="6"/>
  <c r="N62" i="6"/>
  <c r="D62" i="6"/>
  <c r="F62" i="6"/>
  <c r="R62" i="6"/>
  <c r="K34" i="4"/>
  <c r="K44" i="4"/>
  <c r="I53" i="6"/>
  <c r="U53" i="6"/>
  <c r="C53" i="6"/>
  <c r="O53" i="6"/>
  <c r="H53" i="6"/>
  <c r="T53" i="6"/>
  <c r="B53" i="6"/>
  <c r="N53" i="6"/>
  <c r="D53" i="6"/>
  <c r="P53" i="6"/>
  <c r="E53" i="6"/>
  <c r="Q53" i="6"/>
  <c r="F53" i="6"/>
  <c r="R53" i="6"/>
  <c r="G53" i="6"/>
  <c r="S53" i="6"/>
  <c r="S48" i="6"/>
  <c r="U48" i="6"/>
  <c r="R48" i="6"/>
  <c r="Q48" i="6"/>
  <c r="O48" i="6"/>
  <c r="T48" i="6"/>
  <c r="N48" i="6"/>
  <c r="P48" i="6"/>
  <c r="K70" i="4"/>
  <c r="K45" i="4"/>
  <c r="J92" i="6"/>
  <c r="D10" i="7"/>
  <c r="B90" i="6"/>
  <c r="F90" i="6"/>
  <c r="J89" i="6"/>
  <c r="D7" i="7"/>
  <c r="C36" i="5"/>
  <c r="B108" i="6"/>
  <c r="N108" i="6"/>
  <c r="N113" i="6"/>
  <c r="N117" i="6"/>
  <c r="E36" i="5"/>
  <c r="D108" i="6"/>
  <c r="P108" i="6"/>
  <c r="P113" i="6"/>
  <c r="D36" i="5"/>
  <c r="C108" i="6"/>
  <c r="O108" i="6"/>
  <c r="O113" i="6"/>
  <c r="G23" i="6"/>
  <c r="F22" i="5"/>
  <c r="T66" i="6"/>
  <c r="T96" i="6"/>
  <c r="U66" i="6"/>
  <c r="U96" i="6"/>
  <c r="E66" i="6"/>
  <c r="E96" i="6"/>
  <c r="Q62" i="6"/>
  <c r="Q66" i="6"/>
  <c r="Q96" i="6"/>
  <c r="D66" i="6"/>
  <c r="D96" i="6"/>
  <c r="P62" i="6"/>
  <c r="P66" i="6"/>
  <c r="P96" i="6"/>
  <c r="C66" i="6"/>
  <c r="C96" i="6"/>
  <c r="O62" i="6"/>
  <c r="O66" i="6"/>
  <c r="O96" i="6"/>
  <c r="V64" i="6"/>
  <c r="O117" i="6"/>
  <c r="V91" i="6"/>
  <c r="P117" i="6"/>
  <c r="V48" i="6"/>
  <c r="N66" i="6"/>
  <c r="N96" i="6"/>
  <c r="G66" i="6"/>
  <c r="G96" i="6"/>
  <c r="S62" i="6"/>
  <c r="S66" i="6"/>
  <c r="S96" i="6"/>
  <c r="R66" i="6"/>
  <c r="R96" i="6"/>
  <c r="V53" i="6"/>
  <c r="J64" i="6"/>
  <c r="J48" i="6"/>
  <c r="D44" i="6"/>
  <c r="E44" i="6"/>
  <c r="Q44" i="6"/>
  <c r="Q50" i="6"/>
  <c r="Q94" i="6"/>
  <c r="C44" i="6"/>
  <c r="B44" i="6"/>
  <c r="N44" i="6"/>
  <c r="N50" i="6"/>
  <c r="N94" i="6"/>
  <c r="H44" i="6"/>
  <c r="G44" i="6"/>
  <c r="I44" i="6"/>
  <c r="F44" i="6"/>
  <c r="C41" i="6"/>
  <c r="C93" i="6"/>
  <c r="E41" i="6"/>
  <c r="E93" i="6"/>
  <c r="B66" i="6"/>
  <c r="B96" i="6"/>
  <c r="J62" i="6"/>
  <c r="I66" i="6"/>
  <c r="I96" i="6"/>
  <c r="G81" i="6"/>
  <c r="I81" i="6"/>
  <c r="C81" i="6"/>
  <c r="H81" i="6"/>
  <c r="B81" i="6"/>
  <c r="N81" i="6"/>
  <c r="N84" i="6"/>
  <c r="D81" i="6"/>
  <c r="E81" i="6"/>
  <c r="F81" i="6"/>
  <c r="I56" i="6"/>
  <c r="U56" i="6"/>
  <c r="C56" i="6"/>
  <c r="H56" i="6"/>
  <c r="T56" i="6"/>
  <c r="G56" i="6"/>
  <c r="S56" i="6"/>
  <c r="E56" i="6"/>
  <c r="Q56" i="6"/>
  <c r="B56" i="6"/>
  <c r="N56" i="6"/>
  <c r="D56" i="6"/>
  <c r="P56" i="6"/>
  <c r="F56" i="6"/>
  <c r="R56" i="6"/>
  <c r="E50" i="6"/>
  <c r="E94" i="6"/>
  <c r="J53" i="6"/>
  <c r="D55" i="6"/>
  <c r="F55" i="6"/>
  <c r="H55" i="6"/>
  <c r="G55" i="6"/>
  <c r="S55" i="6"/>
  <c r="E55" i="6"/>
  <c r="I55" i="6"/>
  <c r="C55" i="6"/>
  <c r="O55" i="6"/>
  <c r="B55" i="6"/>
  <c r="N55" i="6"/>
  <c r="N58" i="6"/>
  <c r="N95" i="6"/>
  <c r="F66" i="6"/>
  <c r="F96" i="6"/>
  <c r="H66" i="6"/>
  <c r="H96" i="6"/>
  <c r="H23" i="6"/>
  <c r="H90" i="6"/>
  <c r="I23" i="6"/>
  <c r="J20" i="6"/>
  <c r="J23" i="6"/>
  <c r="C113" i="6"/>
  <c r="B113" i="6"/>
  <c r="D113" i="6"/>
  <c r="G90" i="6"/>
  <c r="F28" i="5"/>
  <c r="G22" i="5"/>
  <c r="V96" i="6"/>
  <c r="S58" i="6"/>
  <c r="S95" i="6"/>
  <c r="J66" i="6"/>
  <c r="N100" i="6"/>
  <c r="V62" i="6"/>
  <c r="V66" i="6"/>
  <c r="E58" i="6"/>
  <c r="E95" i="6"/>
  <c r="E100" i="6"/>
  <c r="Q55" i="6"/>
  <c r="Q58" i="6"/>
  <c r="Q95" i="6"/>
  <c r="Q100" i="6"/>
  <c r="D50" i="6"/>
  <c r="D94" i="6"/>
  <c r="P44" i="6"/>
  <c r="P50" i="6"/>
  <c r="P94" i="6"/>
  <c r="E84" i="6"/>
  <c r="E86" i="6"/>
  <c r="Q81" i="6"/>
  <c r="Q84" i="6"/>
  <c r="D84" i="6"/>
  <c r="D102" i="6"/>
  <c r="P81" i="6"/>
  <c r="P84" i="6"/>
  <c r="I50" i="6"/>
  <c r="I94" i="6"/>
  <c r="U44" i="6"/>
  <c r="U50" i="6"/>
  <c r="U94" i="6"/>
  <c r="C50" i="6"/>
  <c r="C94" i="6"/>
  <c r="O44" i="6"/>
  <c r="O50" i="6"/>
  <c r="O94" i="6"/>
  <c r="D58" i="6"/>
  <c r="D95" i="6"/>
  <c r="P55" i="6"/>
  <c r="P58" i="6"/>
  <c r="P95" i="6"/>
  <c r="H84" i="6"/>
  <c r="H102" i="6"/>
  <c r="T81" i="6"/>
  <c r="T84" i="6"/>
  <c r="H50" i="6"/>
  <c r="H94" i="6"/>
  <c r="T44" i="6"/>
  <c r="T50" i="6"/>
  <c r="T94" i="6"/>
  <c r="C84" i="6"/>
  <c r="C102" i="6"/>
  <c r="O81" i="6"/>
  <c r="O84" i="6"/>
  <c r="H58" i="6"/>
  <c r="H95" i="6"/>
  <c r="T55" i="6"/>
  <c r="T58" i="6"/>
  <c r="T95" i="6"/>
  <c r="G58" i="6"/>
  <c r="G95" i="6"/>
  <c r="C58" i="6"/>
  <c r="C95" i="6"/>
  <c r="O56" i="6"/>
  <c r="V56" i="6"/>
  <c r="I84" i="6"/>
  <c r="I102" i="6"/>
  <c r="U81" i="6"/>
  <c r="U84" i="6"/>
  <c r="I58" i="6"/>
  <c r="I95" i="6"/>
  <c r="U55" i="6"/>
  <c r="U58" i="6"/>
  <c r="U95" i="6"/>
  <c r="N102" i="6"/>
  <c r="N86" i="6"/>
  <c r="G84" i="6"/>
  <c r="G102" i="6"/>
  <c r="S81" i="6"/>
  <c r="S84" i="6"/>
  <c r="G50" i="6"/>
  <c r="G94" i="6"/>
  <c r="S44" i="6"/>
  <c r="S50" i="6"/>
  <c r="S94" i="6"/>
  <c r="S100" i="6"/>
  <c r="F50" i="6"/>
  <c r="F94" i="6"/>
  <c r="R44" i="6"/>
  <c r="F58" i="6"/>
  <c r="F95" i="6"/>
  <c r="R55" i="6"/>
  <c r="F84" i="6"/>
  <c r="F102" i="6"/>
  <c r="R81" i="6"/>
  <c r="D117" i="6"/>
  <c r="B117" i="6"/>
  <c r="J56" i="6"/>
  <c r="J96" i="6"/>
  <c r="D14" i="7"/>
  <c r="B41" i="6"/>
  <c r="B93" i="6"/>
  <c r="J38" i="6"/>
  <c r="I41" i="6"/>
  <c r="I93" i="6"/>
  <c r="J55" i="6"/>
  <c r="B84" i="6"/>
  <c r="J81" i="6"/>
  <c r="J84" i="6"/>
  <c r="J39" i="6"/>
  <c r="D41" i="6"/>
  <c r="D93" i="6"/>
  <c r="D100" i="6"/>
  <c r="G41" i="6"/>
  <c r="G93" i="6"/>
  <c r="E102" i="6"/>
  <c r="B58" i="6"/>
  <c r="B95" i="6"/>
  <c r="F41" i="6"/>
  <c r="F93" i="6"/>
  <c r="H41" i="6"/>
  <c r="H93" i="6"/>
  <c r="B50" i="6"/>
  <c r="B94" i="6"/>
  <c r="J44" i="6"/>
  <c r="J50" i="6"/>
  <c r="C117" i="6"/>
  <c r="I90" i="6"/>
  <c r="F36" i="5"/>
  <c r="E108" i="6"/>
  <c r="Q108" i="6"/>
  <c r="Q113" i="6"/>
  <c r="Q117" i="6"/>
  <c r="G28" i="5"/>
  <c r="H22" i="5"/>
  <c r="J58" i="6"/>
  <c r="N104" i="6"/>
  <c r="N121" i="6"/>
  <c r="G100" i="6"/>
  <c r="G104" i="6"/>
  <c r="T100" i="6"/>
  <c r="P100" i="6"/>
  <c r="C100" i="6"/>
  <c r="N119" i="6"/>
  <c r="U100" i="6"/>
  <c r="Q102" i="6"/>
  <c r="Q86" i="6"/>
  <c r="O58" i="6"/>
  <c r="O95" i="6"/>
  <c r="S86" i="6"/>
  <c r="S102" i="6"/>
  <c r="S104" i="6"/>
  <c r="C86" i="6"/>
  <c r="Q104" i="6"/>
  <c r="Q119" i="6"/>
  <c r="J95" i="6"/>
  <c r="D13" i="7"/>
  <c r="H100" i="6"/>
  <c r="H104" i="6"/>
  <c r="U102" i="6"/>
  <c r="U86" i="6"/>
  <c r="O102" i="6"/>
  <c r="T102" i="6"/>
  <c r="T104" i="6"/>
  <c r="T86" i="6"/>
  <c r="O100" i="6"/>
  <c r="P102" i="6"/>
  <c r="P86" i="6"/>
  <c r="R50" i="6"/>
  <c r="R94" i="6"/>
  <c r="V44" i="6"/>
  <c r="V50" i="6"/>
  <c r="V55" i="6"/>
  <c r="V58" i="6"/>
  <c r="R58" i="6"/>
  <c r="R95" i="6"/>
  <c r="V95" i="6"/>
  <c r="J94" i="6"/>
  <c r="D12" i="7"/>
  <c r="V81" i="6"/>
  <c r="V84" i="6"/>
  <c r="R84" i="6"/>
  <c r="G86" i="6"/>
  <c r="I100" i="6"/>
  <c r="I104" i="6"/>
  <c r="I86" i="6"/>
  <c r="J93" i="6"/>
  <c r="D11" i="7"/>
  <c r="F100" i="6"/>
  <c r="F104" i="6"/>
  <c r="J41" i="6"/>
  <c r="B100" i="6"/>
  <c r="H86" i="6"/>
  <c r="D104" i="6"/>
  <c r="F86" i="6"/>
  <c r="D86" i="6"/>
  <c r="C104" i="6"/>
  <c r="B102" i="6"/>
  <c r="J102" i="6"/>
  <c r="D20" i="7"/>
  <c r="B86" i="6"/>
  <c r="E104" i="6"/>
  <c r="J90" i="6"/>
  <c r="D8" i="7"/>
  <c r="E113" i="6"/>
  <c r="G36" i="5"/>
  <c r="F108" i="6"/>
  <c r="R108" i="6"/>
  <c r="H28" i="5"/>
  <c r="J22" i="5"/>
  <c r="I22" i="5"/>
  <c r="O86" i="6"/>
  <c r="U104" i="6"/>
  <c r="P104" i="6"/>
  <c r="P119" i="6"/>
  <c r="Q121" i="6"/>
  <c r="P121" i="6"/>
  <c r="O104" i="6"/>
  <c r="R102" i="6"/>
  <c r="V102" i="6"/>
  <c r="R86" i="6"/>
  <c r="V94" i="6"/>
  <c r="V100" i="6"/>
  <c r="R100" i="6"/>
  <c r="R113" i="6"/>
  <c r="V86" i="6"/>
  <c r="E117" i="6"/>
  <c r="E121" i="6"/>
  <c r="C119" i="6"/>
  <c r="J100" i="6"/>
  <c r="J86" i="6"/>
  <c r="D119" i="6"/>
  <c r="D121" i="6"/>
  <c r="E119" i="6"/>
  <c r="C121" i="6"/>
  <c r="B104" i="6"/>
  <c r="F113" i="6"/>
  <c r="H36" i="5"/>
  <c r="G108" i="6"/>
  <c r="S108" i="6"/>
  <c r="S113" i="6"/>
  <c r="S117" i="6"/>
  <c r="S121" i="6"/>
  <c r="I28" i="5"/>
  <c r="J28" i="5"/>
  <c r="R104" i="6"/>
  <c r="O119" i="6"/>
  <c r="O121" i="6"/>
  <c r="V104" i="6"/>
  <c r="S119" i="6"/>
  <c r="J104" i="6"/>
  <c r="D18" i="7"/>
  <c r="D22" i="7"/>
  <c r="R117" i="6"/>
  <c r="R119" i="6"/>
  <c r="F117" i="6"/>
  <c r="F121" i="6"/>
  <c r="B121" i="6"/>
  <c r="B119" i="6"/>
  <c r="F119" i="6"/>
  <c r="G113" i="6"/>
  <c r="J36" i="5"/>
  <c r="I108" i="6"/>
  <c r="U108" i="6"/>
  <c r="U113" i="6"/>
  <c r="I36" i="5"/>
  <c r="H108" i="6"/>
  <c r="T108" i="6"/>
  <c r="R121" i="6"/>
  <c r="T113" i="6"/>
  <c r="V108" i="6"/>
  <c r="U117" i="6"/>
  <c r="U121" i="6"/>
  <c r="U119" i="6"/>
  <c r="G117" i="6"/>
  <c r="G121" i="6"/>
  <c r="G119" i="6"/>
  <c r="J108" i="6"/>
  <c r="H113" i="6"/>
  <c r="I113" i="6"/>
  <c r="W84" i="6"/>
  <c r="W58" i="6"/>
  <c r="W95" i="6"/>
  <c r="W23" i="6"/>
  <c r="W90" i="6"/>
  <c r="W66" i="6"/>
  <c r="W96" i="6"/>
  <c r="W77" i="6"/>
  <c r="W98" i="6"/>
  <c r="V113" i="6"/>
  <c r="W41" i="6"/>
  <c r="W93" i="6"/>
  <c r="W16" i="6"/>
  <c r="W89" i="6"/>
  <c r="W50" i="6"/>
  <c r="W94" i="6"/>
  <c r="W72" i="6"/>
  <c r="W97" i="6"/>
  <c r="W35" i="6"/>
  <c r="W92" i="6"/>
  <c r="T117" i="6"/>
  <c r="T121" i="6"/>
  <c r="T119" i="6"/>
  <c r="J113" i="6"/>
  <c r="K77" i="6"/>
  <c r="K98" i="6"/>
  <c r="K72" i="6"/>
  <c r="K97" i="6"/>
  <c r="K16" i="6"/>
  <c r="K89" i="6"/>
  <c r="K35" i="6"/>
  <c r="K92" i="6"/>
  <c r="K66" i="6"/>
  <c r="K96" i="6"/>
  <c r="K23" i="6"/>
  <c r="K90" i="6"/>
  <c r="K58" i="6"/>
  <c r="K95" i="6"/>
  <c r="K50" i="6"/>
  <c r="K94" i="6"/>
  <c r="K84" i="6"/>
  <c r="K41" i="6"/>
  <c r="K93" i="6"/>
  <c r="H119" i="6"/>
  <c r="I119" i="6"/>
  <c r="J117" i="6"/>
  <c r="J121" i="6"/>
  <c r="I117" i="6"/>
  <c r="I121" i="6"/>
  <c r="H117" i="6"/>
  <c r="H121" i="6"/>
  <c r="W100" i="6"/>
  <c r="V117" i="6"/>
  <c r="V121" i="6"/>
  <c r="V119" i="6"/>
  <c r="W102" i="6"/>
  <c r="W86" i="6"/>
  <c r="J119" i="6"/>
  <c r="D24" i="7"/>
  <c r="K100" i="6"/>
  <c r="K102" i="6"/>
  <c r="K86" i="6"/>
  <c r="W104" i="6"/>
  <c r="J15" i="7"/>
  <c r="J14" i="7"/>
  <c r="J10" i="7"/>
  <c r="D26" i="7"/>
  <c r="D30" i="7"/>
  <c r="J17" i="7"/>
  <c r="J13" i="7"/>
  <c r="J9" i="7"/>
  <c r="J16" i="7"/>
  <c r="J12" i="7"/>
  <c r="J8" i="7"/>
  <c r="J7" i="7"/>
  <c r="J11" i="7"/>
  <c r="K104" i="6"/>
</calcChain>
</file>

<file path=xl/sharedStrings.xml><?xml version="1.0" encoding="utf-8"?>
<sst xmlns="http://schemas.openxmlformats.org/spreadsheetml/2006/main" count="464" uniqueCount="265">
  <si>
    <t>Data Template for 4 schools</t>
  </si>
  <si>
    <t>Funding</t>
  </si>
  <si>
    <t>% Free School Meals</t>
  </si>
  <si>
    <t>IDAC Funding No.</t>
  </si>
  <si>
    <t>Lump Sum</t>
  </si>
  <si>
    <t>Main Pupil Funding</t>
  </si>
  <si>
    <t>Deprivation Funding</t>
  </si>
  <si>
    <t>Prior Low Attainment</t>
  </si>
  <si>
    <t>Other Factors</t>
  </si>
  <si>
    <t>Broad Heath</t>
  </si>
  <si>
    <t>Cleeve Prior</t>
  </si>
  <si>
    <t>Littleton</t>
  </si>
  <si>
    <t>Offenham</t>
  </si>
  <si>
    <t>Small Schools Model 2015/16</t>
  </si>
  <si>
    <t>Rates</t>
  </si>
  <si>
    <t>MFG</t>
  </si>
  <si>
    <t>Dedelegation</t>
  </si>
  <si>
    <t>Pupil Premium</t>
  </si>
  <si>
    <t>Eligible Pupil Numbers</t>
  </si>
  <si>
    <t>Eligible Pupil Numbers %</t>
  </si>
  <si>
    <t>Proportion of Numbers on Role</t>
  </si>
  <si>
    <t>Other Notes</t>
  </si>
  <si>
    <t>DFC pupil led funding</t>
  </si>
  <si>
    <t>Devolved Formula Capital</t>
  </si>
  <si>
    <t>Eligible Pupil Numbers Jan 14</t>
  </si>
  <si>
    <t>Pupil No's (Oct 14)</t>
  </si>
  <si>
    <t>Carry Forward Balance from 14/15</t>
  </si>
  <si>
    <t>Total Sect251 Funding</t>
  </si>
  <si>
    <t>EAL</t>
  </si>
  <si>
    <t>Proportion on role</t>
  </si>
  <si>
    <t>Large Lump Sum protects small schools</t>
  </si>
  <si>
    <t>Teaching Staff</t>
  </si>
  <si>
    <t>Head Teacher Point</t>
  </si>
  <si>
    <t>Deputy Head FTE</t>
  </si>
  <si>
    <t>Assistant H/T FTE</t>
  </si>
  <si>
    <t>Head Teacher FTE</t>
  </si>
  <si>
    <t>TLR2A (FTE)</t>
  </si>
  <si>
    <t>TLR2B (FTE)</t>
  </si>
  <si>
    <t>TLR3 (FTE)</t>
  </si>
  <si>
    <t>Premises Staff</t>
  </si>
  <si>
    <t>Cleaners FTE</t>
  </si>
  <si>
    <t>Caretaking FTE</t>
  </si>
  <si>
    <t>Administration / Finance (FTE)</t>
  </si>
  <si>
    <t>Non Currriculum Staff</t>
  </si>
  <si>
    <t>Mid Day  Supervisors (FTE)</t>
  </si>
  <si>
    <t>Curriculum Support Staff</t>
  </si>
  <si>
    <t>Teaching Assistants (FTE)</t>
  </si>
  <si>
    <t>Learning Mentors (FTE)</t>
  </si>
  <si>
    <t>Pre and After School (FTE)</t>
  </si>
  <si>
    <t>Nursery</t>
  </si>
  <si>
    <t>Reception</t>
  </si>
  <si>
    <t>Y1</t>
  </si>
  <si>
    <t>Y2</t>
  </si>
  <si>
    <t>Y3</t>
  </si>
  <si>
    <t>Y4</t>
  </si>
  <si>
    <t>Y5</t>
  </si>
  <si>
    <t>Y6</t>
  </si>
  <si>
    <t>L21</t>
  </si>
  <si>
    <t>Pupil Numbers</t>
  </si>
  <si>
    <t>Head Teacher Cost</t>
  </si>
  <si>
    <t>Total Costs</t>
  </si>
  <si>
    <t>FTE of Staffing Inc H/t April</t>
  </si>
  <si>
    <t>FTE of Staffing Inc H/t Sept</t>
  </si>
  <si>
    <t>Average Teacher Cost (Excl H/T) April</t>
  </si>
  <si>
    <t>Total Cost</t>
  </si>
  <si>
    <t>L17</t>
  </si>
  <si>
    <t>TLR2C (FTE)</t>
  </si>
  <si>
    <t>L09</t>
  </si>
  <si>
    <t>Staff Funded by Pupil Premium</t>
  </si>
  <si>
    <t>Teaching Assistants</t>
  </si>
  <si>
    <t>Other</t>
  </si>
  <si>
    <t>Cost per pupil</t>
  </si>
  <si>
    <t>Cost per Full Time FTE</t>
  </si>
  <si>
    <t>L15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</si>
  <si>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</si>
  <si>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</si>
  <si>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</si>
  <si>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</si>
  <si>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</si>
  <si>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</si>
  <si>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</si>
  <si>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</si>
  <si>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Carry Forward Balance Previous Year</t>
  </si>
  <si>
    <t>SMALL SCHOOLS MODEL PROJECTED FUNDING</t>
  </si>
  <si>
    <t>Pupil Funding</t>
  </si>
  <si>
    <t>Free School Meals</t>
  </si>
  <si>
    <t>EAL %</t>
  </si>
  <si>
    <t>EAL Funding</t>
  </si>
  <si>
    <t>Prior Year Low Attainment %</t>
  </si>
  <si>
    <t>IDAC %</t>
  </si>
  <si>
    <t>Eligible Pupil Premium Children</t>
  </si>
  <si>
    <t>TOTAL FUNDING</t>
  </si>
  <si>
    <t>Minimum Funding Guarantee</t>
  </si>
  <si>
    <t>EYFS Funding</t>
  </si>
  <si>
    <t>GENERAL ANNUAL GRANT FUNDING (GAG)</t>
  </si>
  <si>
    <t>SMALL SCHOOLS MODEL DATA SHEET</t>
  </si>
  <si>
    <t>FUNDING</t>
  </si>
  <si>
    <t>Employees</t>
  </si>
  <si>
    <t>Other Employee Expenses</t>
  </si>
  <si>
    <t>In Service Training</t>
  </si>
  <si>
    <t>Capitation</t>
  </si>
  <si>
    <t>Premises Related Costs</t>
  </si>
  <si>
    <t>Supplies &amp; Services</t>
  </si>
  <si>
    <t>Professional Fees</t>
  </si>
  <si>
    <t>Contingency</t>
  </si>
  <si>
    <t>Income</t>
  </si>
  <si>
    <t>Other Employee Costs</t>
  </si>
  <si>
    <t>Premises</t>
  </si>
  <si>
    <t>Development/Refurb</t>
  </si>
  <si>
    <t>TOTAL GROSS EXPENDITURE</t>
  </si>
  <si>
    <t>TOTAL NET EXPENDITURE</t>
  </si>
  <si>
    <t>Total Funds available</t>
  </si>
  <si>
    <t>Carry fwd from previous year</t>
  </si>
  <si>
    <t>Total Funding</t>
  </si>
  <si>
    <t>In Year (Deficit) / Surplus</t>
  </si>
  <si>
    <t>Clerk to Governing Body Salary</t>
  </si>
  <si>
    <t>Governing Body Expenses &amp; Training</t>
  </si>
  <si>
    <t>Pupil Premium - Breakfast / Homework</t>
  </si>
  <si>
    <t>Pupil Premium - Resources and Training</t>
  </si>
  <si>
    <t>Rents/UBR/Water Rates</t>
  </si>
  <si>
    <t>Insurances</t>
  </si>
  <si>
    <t>PE and Sports Grant Expenditure</t>
  </si>
  <si>
    <t>School Meals Contract</t>
  </si>
  <si>
    <t>Personnel &amp; Payroll Services</t>
  </si>
  <si>
    <t>Misc SIP Priorities</t>
  </si>
  <si>
    <t>Whole School Refurbishment</t>
  </si>
  <si>
    <t>Reserves</t>
  </si>
  <si>
    <t>Lettings</t>
  </si>
  <si>
    <t>Miscellaneous Income</t>
  </si>
  <si>
    <t>SMALL SCHOOLS MODEL PROJECTED BUDGET</t>
  </si>
  <si>
    <t>Administration</t>
  </si>
  <si>
    <t>Early Years Staffing</t>
  </si>
  <si>
    <t>Total Employees</t>
  </si>
  <si>
    <t>Total Other Employees</t>
  </si>
  <si>
    <t>Agency Staff (Training)</t>
  </si>
  <si>
    <t>Course Fees</t>
  </si>
  <si>
    <t>Curriculum Resource</t>
  </si>
  <si>
    <t>Non Curriculum Resource</t>
  </si>
  <si>
    <t>Utilities</t>
  </si>
  <si>
    <t>Other Premises Costs</t>
  </si>
  <si>
    <t>Total Premises Related Costs</t>
  </si>
  <si>
    <t>Total In Service Training</t>
  </si>
  <si>
    <t>Total Capitation</t>
  </si>
  <si>
    <t>Other Supplies and Services</t>
  </si>
  <si>
    <t>Total Supplies and Services</t>
  </si>
  <si>
    <t>Finance</t>
  </si>
  <si>
    <t>Systems / ICT</t>
  </si>
  <si>
    <t>Other Professional Fees</t>
  </si>
  <si>
    <t>Total Professional Fees</t>
  </si>
  <si>
    <t>School Development / Refurbishment</t>
  </si>
  <si>
    <t>Total School Development / Refurbishment</t>
  </si>
  <si>
    <t>Total Contingency</t>
  </si>
  <si>
    <t>PE Sports Grant</t>
  </si>
  <si>
    <t>Total Income</t>
  </si>
  <si>
    <t>General Annual Grant</t>
  </si>
  <si>
    <t>Total GAG Funding</t>
  </si>
  <si>
    <t>Devolved Capital</t>
  </si>
  <si>
    <t>Devolved Capital Funding</t>
  </si>
  <si>
    <t>Total Pupil Premium</t>
  </si>
  <si>
    <t>Every 25 Pupils = 1 Teacher</t>
  </si>
  <si>
    <t>Average</t>
  </si>
  <si>
    <t>Based on Group 2</t>
  </si>
  <si>
    <t>Head Teacher Cost (Based on Group 2)</t>
  </si>
  <si>
    <t>Average Cost</t>
  </si>
  <si>
    <t>Pupils per TA</t>
  </si>
  <si>
    <t>Expendture Budgets for 4 schools</t>
  </si>
  <si>
    <t>Agency Staff (Sickness)</t>
  </si>
  <si>
    <t>Pupil Premium (Non Employee)</t>
  </si>
  <si>
    <t>School Meals Contract (Net of UIFSM)</t>
  </si>
  <si>
    <t>TOTAL</t>
  </si>
  <si>
    <t>Premises Staff (Cleaners / Key Holders)</t>
  </si>
  <si>
    <t>Up to 100 pupils</t>
  </si>
  <si>
    <t>Over 100</t>
  </si>
  <si>
    <t>Schools Square Meterage</t>
  </si>
  <si>
    <t>EYFS FUNDING</t>
  </si>
  <si>
    <t>INDICATIVE Early Years Funding Statement</t>
  </si>
  <si>
    <t>School Data</t>
  </si>
  <si>
    <t>Summer 
Term 2014</t>
  </si>
  <si>
    <t>Autumn
Term 2014</t>
  </si>
  <si>
    <t>Spring
Term 2015</t>
  </si>
  <si>
    <t>Whole
Financial Year</t>
  </si>
  <si>
    <t>(13 Weeks)</t>
  </si>
  <si>
    <t>(14 Weeks)</t>
  </si>
  <si>
    <t>(11 Weeks)</t>
  </si>
  <si>
    <t>(38 Weeks)</t>
  </si>
  <si>
    <t>(Per May 15 census)</t>
  </si>
  <si>
    <t>(Per Oct 15 census)</t>
  </si>
  <si>
    <t>(Per Jan 16 census)</t>
  </si>
  <si>
    <t>Formula Factors</t>
  </si>
  <si>
    <t>Headcount</t>
  </si>
  <si>
    <t>Free Entitlement Hours Provided</t>
  </si>
  <si>
    <t>Base Rate</t>
  </si>
  <si>
    <t>Deprivation Rate</t>
  </si>
  <si>
    <t>Base Rate Funding</t>
  </si>
  <si>
    <t>Total 2015/16 Funding Under EYSFF (£)</t>
  </si>
  <si>
    <t>January 2015 Headcount</t>
  </si>
  <si>
    <t>IDACI based on January 2015 census</t>
  </si>
  <si>
    <t>Per pupil Funding</t>
  </si>
  <si>
    <t>Pupil Premium - Employees (Assume 80%)</t>
  </si>
  <si>
    <t>Pupil Premium - Non Employee Costs (Assume 20%)</t>
  </si>
  <si>
    <t>% of Revenue Budget</t>
  </si>
  <si>
    <t>DATA DASHBOARD</t>
  </si>
  <si>
    <t>Early Years Fuding</t>
  </si>
  <si>
    <t>Teachers per 26</t>
  </si>
  <si>
    <t>TA per 26</t>
  </si>
  <si>
    <t>Early Years No's - Part time AM</t>
  </si>
  <si>
    <t>Early Years No's - Part time PM</t>
  </si>
  <si>
    <t>Morning</t>
  </si>
  <si>
    <t>Afternoon</t>
  </si>
  <si>
    <t>NET EXPENDITURE</t>
  </si>
  <si>
    <t>IN YEAR SURPLUS / (DEFICIT)</t>
  </si>
  <si>
    <t>NET SURPLUS / (DEFICIT)</t>
  </si>
  <si>
    <t>FUNDING FOR THE YEAR</t>
  </si>
  <si>
    <t>B/F SURPLUS / (DEFICIT)</t>
  </si>
  <si>
    <t>EXPENDITURE % OF FUNDING</t>
  </si>
  <si>
    <t>COMMENTS / HIGHLIGHTS</t>
  </si>
  <si>
    <t>SMALL SCHOOLS FINANCIAL PLANNING TOOL</t>
  </si>
  <si>
    <t>SUMMARY OF MULTI ACADEMY TRUST (MAT) PROJECTED BUDGET</t>
  </si>
  <si>
    <t>Age Weighted Pupil Unit</t>
  </si>
  <si>
    <t>This side of the sheet is automatically populated from the data inserted in Sheet 1. This information can not be altered.</t>
  </si>
  <si>
    <t>All information that is needed for this modelling tool can be found in the schools' Funding Statements</t>
  </si>
  <si>
    <t xml:space="preserve">The tool is to be used by schools with 150 pupils or fewer to look at projected financial implications of working together as a Multi Academy Trust </t>
  </si>
  <si>
    <t>1.Schools Data Sheet</t>
  </si>
  <si>
    <t>By  populating 1.Schools Data Sheet the following sheets are populated:</t>
  </si>
  <si>
    <t>3. Projected Schools Budget</t>
  </si>
  <si>
    <t>Overview</t>
  </si>
  <si>
    <t xml:space="preserve">2. Projected Funding </t>
  </si>
  <si>
    <t>Step 1</t>
  </si>
  <si>
    <t>Step 2</t>
  </si>
  <si>
    <t>Step 3</t>
  </si>
  <si>
    <t>Repeat Step 1 &amp; 2 for subsequent schools</t>
  </si>
  <si>
    <t>Step 4</t>
  </si>
  <si>
    <t>pulls together all the information from Sheets 2 &amp; 3 to give the group of schools (the MAT) an indicative projected budget.</t>
  </si>
  <si>
    <t>Please Note:</t>
  </si>
  <si>
    <t>It provides an opportunity to assess current financial strengths and may identify areas where collaborative working could be beneficial educationally and financially.</t>
  </si>
  <si>
    <t>The toolkit is not intended to produce detailed projection and balance sheets.  This toolkit should not replace financial due diligence prior to conversion to a Multi Academy Trust.</t>
  </si>
  <si>
    <t>Andrew Martin</t>
  </si>
  <si>
    <t>Yolanda Morley-McKay</t>
  </si>
  <si>
    <t>Andrew.Martin@churchofengland.org</t>
  </si>
  <si>
    <t>yolanda.morley-mckay@acumenassociates.org</t>
  </si>
  <si>
    <t>Any questions:</t>
  </si>
  <si>
    <t>Dave Bagley</t>
  </si>
  <si>
    <t>david.bagley@thedrbgroup.co.uk</t>
  </si>
  <si>
    <t>Use this sheet to look at the potential areas where costs could be saved from working together and to consider the overall financial picture.</t>
  </si>
  <si>
    <t>is checked by School 1</t>
  </si>
  <si>
    <t>The Overview Sheet</t>
  </si>
  <si>
    <r>
      <t xml:space="preserve">Anything highlighted in </t>
    </r>
    <r>
      <rPr>
        <b/>
        <i/>
        <sz val="11"/>
        <color rgb="FF0563C1"/>
        <rFont val="Calibri"/>
        <family val="2"/>
        <scheme val="minor"/>
      </rPr>
      <t>blue</t>
    </r>
    <r>
      <rPr>
        <b/>
        <i/>
        <sz val="11"/>
        <color theme="1"/>
        <rFont val="Calibri"/>
        <family val="2"/>
        <scheme val="minor"/>
      </rPr>
      <t xml:space="preserve"> below is a hyperlink to the appropriate worksheet</t>
    </r>
  </si>
  <si>
    <t>There is a section on this sheet where schools can write comments and areas for discussion that arise from the information.</t>
  </si>
  <si>
    <t>Minimum Funding Guarantee (MFG)</t>
  </si>
  <si>
    <t>SMALL SCHOOLS MODEL (MANUALLY UPDATED) PROJECTED BUDGET</t>
  </si>
  <si>
    <t>The right hand side of the sheet can be adjusted to ensure it encompasses any particular areas of a school's budget not covered by the standard formulas e.g., endowment fund payments</t>
  </si>
  <si>
    <t>Carry Forward Balance Previous  Year</t>
  </si>
  <si>
    <t>Non-Curriculum Support Staff</t>
  </si>
  <si>
    <t>Misc. SIP Priorities</t>
  </si>
  <si>
    <t>Cumulative (Deficit) / Surplus</t>
  </si>
  <si>
    <t xml:space="preserve">You can adjust the figures in this side of the spreadsheet in order to model different scenarios. </t>
  </si>
  <si>
    <t>If you have any queries related to using this spreadsheet please contact:</t>
  </si>
  <si>
    <t>Instructions using the tool</t>
  </si>
  <si>
    <t xml:space="preserve">This tool is intended to summarise a baseline position for a group of small schools (150 pupils or fewer) exploring working together as a Multi Academy Trust.  </t>
  </si>
  <si>
    <t xml:space="preserve">to be cleared of model data (this is included for reference but must be deleted prior to populating). </t>
  </si>
  <si>
    <t>School 1 to populate column 'C', and workbook saved.</t>
  </si>
  <si>
    <t>PLEASE ENSURE YOU HAVE READ THE SUPPORTING DOCUMENT BEFORE COMPLETING THIS SPREADSHEET</t>
  </si>
  <si>
    <t>Square Meterage Calculation (m2)</t>
  </si>
  <si>
    <t>per square meter</t>
  </si>
  <si>
    <t>For the Period September 2016 to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</si>
</sst>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_);\(&quot;£&quot;#,##0\)"/>
    <numFmt numFmtId="165" formatCode="&quot;£&quot;#,##0_);[Red]\(&quot;£&quot;#,##0\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&quot;£&quot;#,##0.00;\(&quot;£&quot;#,##0.00\)"/>
    <numFmt numFmtId="169" formatCode="_-&quot;£&quot;* #,##0_-;\-&quot;£&quot;* #,##0_-;_-&quot;£&quot;* &quot;-&quot;??_-;_-@_-"/>
    <numFmt numFmtId="170" formatCode="_-* #,##0_-;\-* #,##0_-;_-* &quot;-&quot;??_-;_-@_-"/>
    <numFmt numFmtId="171" formatCode="0.0%"/>
    <numFmt numFmtId="172" formatCode="&quot;£&quot;#,##0;[Red]\(&quot;£&quot;#,##0\)"/>
    <numFmt numFmtId="173" formatCode="#,##0;\(#,##0\)"/>
    <numFmt numFmtId="174" formatCode="&quot;£&quot;#,##0.00;[Red]&quot;£&quot;#,##0.00"/>
    <numFmt numFmtId="175" formatCode="_-* &quot;£&quot;#,##0.00_-;* \(&quot;£&quot;#,##0.00\)_-;_-* &quot;-&quot;??_-;_-@_-"/>
    <numFmt numFmtId="176" formatCode="&quot;£&quot;#,##0;\(&quot;£&quot;#,##0\)"/>
    <numFmt numFmtId="177" formatCode="0%;[Red]\(0%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563C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3" fillId="0" borderId="0" xfId="0" applyFont="1"/>
    <xf numFmtId="167" fontId="3" fillId="0" borderId="0" xfId="1" applyFont="1"/>
    <xf numFmtId="166" fontId="3" fillId="0" borderId="0" xfId="2" applyFont="1"/>
    <xf numFmtId="10" fontId="3" fillId="0" borderId="0" xfId="3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8" fontId="3" fillId="0" borderId="0" xfId="0" applyNumberFormat="1" applyFont="1"/>
    <xf numFmtId="168" fontId="3" fillId="0" borderId="0" xfId="2" applyNumberFormat="1" applyFont="1"/>
    <xf numFmtId="0" fontId="6" fillId="2" borderId="0" xfId="0" applyFont="1" applyFill="1"/>
    <xf numFmtId="0" fontId="6" fillId="0" borderId="0" xfId="0" applyFont="1" applyFill="1"/>
    <xf numFmtId="0" fontId="3" fillId="3" borderId="0" xfId="0" applyFont="1" applyFill="1"/>
    <xf numFmtId="0" fontId="3" fillId="0" borderId="0" xfId="0" applyFont="1" applyAlignment="1">
      <alignment horizontal="right"/>
    </xf>
    <xf numFmtId="169" fontId="3" fillId="0" borderId="0" xfId="2" applyNumberFormat="1" applyFont="1"/>
    <xf numFmtId="166" fontId="3" fillId="0" borderId="0" xfId="0" applyNumberFormat="1" applyFont="1"/>
    <xf numFmtId="169" fontId="2" fillId="0" borderId="0" xfId="2" applyNumberFormat="1" applyFont="1"/>
    <xf numFmtId="170" fontId="2" fillId="0" borderId="0" xfId="1" applyNumberFormat="1" applyFont="1"/>
    <xf numFmtId="171" fontId="3" fillId="0" borderId="0" xfId="3" applyNumberFormat="1" applyFont="1"/>
    <xf numFmtId="167" fontId="3" fillId="3" borderId="0" xfId="1" applyFont="1" applyFill="1"/>
    <xf numFmtId="10" fontId="3" fillId="3" borderId="0" xfId="3" applyNumberFormat="1" applyFont="1" applyFill="1"/>
    <xf numFmtId="166" fontId="3" fillId="3" borderId="0" xfId="2" applyFont="1" applyFill="1"/>
    <xf numFmtId="172" fontId="2" fillId="0" borderId="0" xfId="2" applyNumberFormat="1" applyFont="1"/>
    <xf numFmtId="172" fontId="3" fillId="0" borderId="0" xfId="0" applyNumberFormat="1" applyFont="1"/>
    <xf numFmtId="172" fontId="3" fillId="0" borderId="0" xfId="2" applyNumberFormat="1" applyFont="1"/>
    <xf numFmtId="172" fontId="3" fillId="3" borderId="0" xfId="2" applyNumberFormat="1" applyFont="1" applyFill="1"/>
    <xf numFmtId="0" fontId="8" fillId="0" borderId="0" xfId="0" applyFont="1"/>
    <xf numFmtId="0" fontId="9" fillId="0" borderId="0" xfId="0" applyFont="1"/>
    <xf numFmtId="172" fontId="9" fillId="0" borderId="0" xfId="0" applyNumberFormat="1" applyFont="1"/>
    <xf numFmtId="172" fontId="8" fillId="0" borderId="0" xfId="0" applyNumberFormat="1" applyFont="1"/>
    <xf numFmtId="0" fontId="10" fillId="0" borderId="0" xfId="0" applyFont="1"/>
    <xf numFmtId="0" fontId="3" fillId="0" borderId="0" xfId="0" applyFont="1" applyFill="1"/>
    <xf numFmtId="0" fontId="10" fillId="4" borderId="0" xfId="0" applyFont="1" applyFill="1"/>
    <xf numFmtId="0" fontId="9" fillId="4" borderId="0" xfId="0" applyFont="1" applyFill="1"/>
    <xf numFmtId="0" fontId="8" fillId="4" borderId="0" xfId="0" applyFont="1" applyFill="1" applyAlignment="1">
      <alignment horizontal="right"/>
    </xf>
    <xf numFmtId="172" fontId="9" fillId="4" borderId="0" xfId="0" applyNumberFormat="1" applyFont="1" applyFill="1"/>
    <xf numFmtId="0" fontId="9" fillId="0" borderId="0" xfId="0" applyFont="1" applyFill="1" applyBorder="1"/>
    <xf numFmtId="173" fontId="13" fillId="0" borderId="0" xfId="0" applyNumberFormat="1" applyFont="1" applyFill="1"/>
    <xf numFmtId="173" fontId="12" fillId="0" borderId="0" xfId="0" applyNumberFormat="1" applyFont="1" applyFill="1"/>
    <xf numFmtId="172" fontId="9" fillId="0" borderId="0" xfId="0" applyNumberFormat="1" applyFont="1" applyFill="1" applyBorder="1"/>
    <xf numFmtId="172" fontId="9" fillId="0" borderId="0" xfId="0" applyNumberFormat="1" applyFont="1" applyBorder="1"/>
    <xf numFmtId="166" fontId="3" fillId="3" borderId="0" xfId="0" applyNumberFormat="1" applyFont="1" applyFill="1"/>
    <xf numFmtId="167" fontId="3" fillId="0" borderId="0" xfId="0" applyNumberFormat="1" applyFont="1"/>
    <xf numFmtId="0" fontId="2" fillId="0" borderId="0" xfId="0" applyFont="1" applyFill="1"/>
    <xf numFmtId="167" fontId="3" fillId="0" borderId="0" xfId="0" applyNumberFormat="1" applyFont="1" applyFill="1"/>
    <xf numFmtId="0" fontId="9" fillId="5" borderId="0" xfId="0" applyFont="1" applyFill="1"/>
    <xf numFmtId="173" fontId="11" fillId="5" borderId="0" xfId="0" applyNumberFormat="1" applyFont="1" applyFill="1" applyAlignment="1">
      <alignment vertical="top" wrapText="1"/>
    </xf>
    <xf numFmtId="172" fontId="9" fillId="5" borderId="2" xfId="0" applyNumberFormat="1" applyFont="1" applyFill="1" applyBorder="1"/>
    <xf numFmtId="172" fontId="9" fillId="5" borderId="0" xfId="0" applyNumberFormat="1" applyFont="1" applyFill="1"/>
    <xf numFmtId="173" fontId="12" fillId="5" borderId="0" xfId="0" applyNumberFormat="1" applyFont="1" applyFill="1"/>
    <xf numFmtId="172" fontId="12" fillId="5" borderId="2" xfId="0" applyNumberFormat="1" applyFont="1" applyFill="1" applyBorder="1"/>
    <xf numFmtId="173" fontId="13" fillId="5" borderId="0" xfId="0" applyNumberFormat="1" applyFont="1" applyFill="1"/>
    <xf numFmtId="172" fontId="13" fillId="5" borderId="2" xfId="0" applyNumberFormat="1" applyFont="1" applyFill="1" applyBorder="1"/>
    <xf numFmtId="172" fontId="12" fillId="5" borderId="2" xfId="0" applyNumberFormat="1" applyFont="1" applyFill="1" applyBorder="1" applyAlignment="1">
      <alignment wrapText="1"/>
    </xf>
    <xf numFmtId="0" fontId="11" fillId="5" borderId="0" xfId="0" applyFont="1" applyFill="1"/>
    <xf numFmtId="173" fontId="11" fillId="5" borderId="0" xfId="0" applyNumberFormat="1" applyFont="1" applyFill="1"/>
    <xf numFmtId="172" fontId="9" fillId="5" borderId="2" xfId="0" applyNumberFormat="1" applyFont="1" applyFill="1" applyBorder="1" applyAlignment="1">
      <alignment wrapText="1"/>
    </xf>
    <xf numFmtId="0" fontId="14" fillId="5" borderId="0" xfId="0" applyFont="1" applyFill="1"/>
    <xf numFmtId="3" fontId="15" fillId="5" borderId="0" xfId="0" applyNumberFormat="1" applyFont="1" applyFill="1"/>
    <xf numFmtId="3" fontId="11" fillId="5" borderId="0" xfId="0" applyNumberFormat="1" applyFont="1" applyFill="1" applyBorder="1"/>
    <xf numFmtId="0" fontId="11" fillId="5" borderId="0" xfId="0" applyFont="1" applyFill="1" applyBorder="1"/>
    <xf numFmtId="172" fontId="12" fillId="5" borderId="0" xfId="0" applyNumberFormat="1" applyFont="1" applyFill="1" applyBorder="1"/>
    <xf numFmtId="0" fontId="12" fillId="5" borderId="0" xfId="0" applyFont="1" applyFill="1" applyBorder="1"/>
    <xf numFmtId="0" fontId="13" fillId="5" borderId="0" xfId="0" applyFont="1" applyFill="1"/>
    <xf numFmtId="172" fontId="12" fillId="5" borderId="0" xfId="0" applyNumberFormat="1" applyFont="1" applyFill="1" applyAlignment="1">
      <alignment wrapText="1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right"/>
    </xf>
    <xf numFmtId="172" fontId="9" fillId="5" borderId="7" xfId="0" applyNumberFormat="1" applyFont="1" applyFill="1" applyBorder="1"/>
    <xf numFmtId="172" fontId="12" fillId="5" borderId="6" xfId="0" applyNumberFormat="1" applyFont="1" applyFill="1" applyBorder="1"/>
    <xf numFmtId="172" fontId="12" fillId="5" borderId="7" xfId="0" applyNumberFormat="1" applyFont="1" applyFill="1" applyBorder="1"/>
    <xf numFmtId="172" fontId="13" fillId="5" borderId="6" xfId="0" applyNumberFormat="1" applyFont="1" applyFill="1" applyBorder="1"/>
    <xf numFmtId="172" fontId="13" fillId="5" borderId="7" xfId="0" applyNumberFormat="1" applyFont="1" applyFill="1" applyBorder="1"/>
    <xf numFmtId="172" fontId="9" fillId="5" borderId="6" xfId="0" applyNumberFormat="1" applyFont="1" applyFill="1" applyBorder="1"/>
    <xf numFmtId="172" fontId="13" fillId="5" borderId="12" xfId="0" applyNumberFormat="1" applyFont="1" applyFill="1" applyBorder="1"/>
    <xf numFmtId="172" fontId="13" fillId="5" borderId="1" xfId="0" applyNumberFormat="1" applyFont="1" applyFill="1" applyBorder="1"/>
    <xf numFmtId="172" fontId="13" fillId="5" borderId="13" xfId="0" applyNumberFormat="1" applyFont="1" applyFill="1" applyBorder="1"/>
    <xf numFmtId="172" fontId="13" fillId="5" borderId="14" xfId="0" applyNumberFormat="1" applyFont="1" applyFill="1" applyBorder="1"/>
    <xf numFmtId="172" fontId="13" fillId="5" borderId="15" xfId="0" applyNumberFormat="1" applyFont="1" applyFill="1" applyBorder="1"/>
    <xf numFmtId="172" fontId="13" fillId="5" borderId="16" xfId="0" applyNumberFormat="1" applyFont="1" applyFill="1" applyBorder="1"/>
    <xf numFmtId="172" fontId="9" fillId="5" borderId="12" xfId="0" applyNumberFormat="1" applyFont="1" applyFill="1" applyBorder="1"/>
    <xf numFmtId="172" fontId="9" fillId="5" borderId="1" xfId="0" applyNumberFormat="1" applyFont="1" applyFill="1" applyBorder="1"/>
    <xf numFmtId="172" fontId="9" fillId="5" borderId="13" xfId="0" applyNumberFormat="1" applyFont="1" applyFill="1" applyBorder="1"/>
    <xf numFmtId="172" fontId="9" fillId="5" borderId="14" xfId="0" applyNumberFormat="1" applyFont="1" applyFill="1" applyBorder="1"/>
    <xf numFmtId="172" fontId="9" fillId="5" borderId="15" xfId="0" applyNumberFormat="1" applyFont="1" applyFill="1" applyBorder="1"/>
    <xf numFmtId="172" fontId="9" fillId="5" borderId="16" xfId="0" applyNumberFormat="1" applyFont="1" applyFill="1" applyBorder="1"/>
    <xf numFmtId="172" fontId="9" fillId="6" borderId="6" xfId="0" applyNumberFormat="1" applyFont="1" applyFill="1" applyBorder="1"/>
    <xf numFmtId="172" fontId="9" fillId="6" borderId="2" xfId="0" applyNumberFormat="1" applyFont="1" applyFill="1" applyBorder="1"/>
    <xf numFmtId="172" fontId="9" fillId="6" borderId="7" xfId="0" applyNumberFormat="1" applyFont="1" applyFill="1" applyBorder="1"/>
    <xf numFmtId="172" fontId="9" fillId="4" borderId="8" xfId="0" applyNumberFormat="1" applyFont="1" applyFill="1" applyBorder="1"/>
    <xf numFmtId="172" fontId="9" fillId="4" borderId="9" xfId="0" applyNumberFormat="1" applyFont="1" applyFill="1" applyBorder="1"/>
    <xf numFmtId="172" fontId="9" fillId="4" borderId="10" xfId="0" applyNumberFormat="1" applyFont="1" applyFill="1" applyBorder="1"/>
    <xf numFmtId="0" fontId="9" fillId="0" borderId="11" xfId="0" applyFont="1" applyFill="1" applyBorder="1"/>
    <xf numFmtId="0" fontId="9" fillId="0" borderId="18" xfId="0" applyFont="1" applyFill="1" applyBorder="1"/>
    <xf numFmtId="0" fontId="10" fillId="5" borderId="0" xfId="0" applyFont="1" applyFill="1"/>
    <xf numFmtId="172" fontId="3" fillId="0" borderId="0" xfId="2" applyNumberFormat="1" applyFont="1" applyAlignment="1">
      <alignment horizontal="right"/>
    </xf>
    <xf numFmtId="172" fontId="2" fillId="0" borderId="17" xfId="2" applyNumberFormat="1" applyFont="1" applyBorder="1"/>
    <xf numFmtId="174" fontId="3" fillId="0" borderId="0" xfId="0" applyNumberFormat="1" applyFont="1"/>
    <xf numFmtId="172" fontId="12" fillId="5" borderId="19" xfId="0" applyNumberFormat="1" applyFont="1" applyFill="1" applyBorder="1"/>
    <xf numFmtId="172" fontId="12" fillId="5" borderId="20" xfId="0" applyNumberFormat="1" applyFont="1" applyFill="1" applyBorder="1"/>
    <xf numFmtId="9" fontId="8" fillId="0" borderId="0" xfId="3" applyFont="1"/>
    <xf numFmtId="9" fontId="9" fillId="0" borderId="0" xfId="3" applyFont="1"/>
    <xf numFmtId="172" fontId="9" fillId="5" borderId="23" xfId="0" applyNumberFormat="1" applyFont="1" applyFill="1" applyBorder="1"/>
    <xf numFmtId="172" fontId="13" fillId="5" borderId="24" xfId="0" applyNumberFormat="1" applyFont="1" applyFill="1" applyBorder="1"/>
    <xf numFmtId="172" fontId="13" fillId="5" borderId="25" xfId="0" applyNumberFormat="1" applyFont="1" applyFill="1" applyBorder="1"/>
    <xf numFmtId="172" fontId="9" fillId="5" borderId="24" xfId="0" applyNumberFormat="1" applyFont="1" applyFill="1" applyBorder="1"/>
    <xf numFmtId="172" fontId="9" fillId="5" borderId="25" xfId="0" applyNumberFormat="1" applyFont="1" applyFill="1" applyBorder="1"/>
    <xf numFmtId="172" fontId="9" fillId="6" borderId="23" xfId="0" applyNumberFormat="1" applyFont="1" applyFill="1" applyBorder="1"/>
    <xf numFmtId="172" fontId="9" fillId="4" borderId="26" xfId="0" applyNumberFormat="1" applyFont="1" applyFill="1" applyBorder="1"/>
    <xf numFmtId="0" fontId="8" fillId="5" borderId="21" xfId="0" applyFont="1" applyFill="1" applyBorder="1" applyAlignment="1">
      <alignment horizontal="right"/>
    </xf>
    <xf numFmtId="172" fontId="9" fillId="0" borderId="0" xfId="2" applyNumberFormat="1" applyFont="1" applyFill="1" applyBorder="1"/>
    <xf numFmtId="172" fontId="9" fillId="4" borderId="0" xfId="2" applyNumberFormat="1" applyFont="1" applyFill="1" applyBorder="1"/>
    <xf numFmtId="0" fontId="16" fillId="0" borderId="0" xfId="0" applyFont="1"/>
    <xf numFmtId="0" fontId="11" fillId="0" borderId="0" xfId="0" applyFont="1"/>
    <xf numFmtId="0" fontId="0" fillId="3" borderId="21" xfId="0" applyFill="1" applyBorder="1"/>
    <xf numFmtId="10" fontId="0" fillId="3" borderId="26" xfId="3" applyNumberFormat="1" applyFont="1" applyFill="1" applyBorder="1"/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Border="1"/>
    <xf numFmtId="170" fontId="0" fillId="0" borderId="1" xfId="1" applyNumberFormat="1" applyFont="1" applyBorder="1"/>
    <xf numFmtId="170" fontId="0" fillId="0" borderId="0" xfId="1" applyNumberFormat="1" applyFont="1" applyBorder="1"/>
    <xf numFmtId="166" fontId="0" fillId="0" borderId="1" xfId="2" applyFont="1" applyBorder="1"/>
    <xf numFmtId="166" fontId="0" fillId="0" borderId="0" xfId="2" applyFont="1" applyBorder="1"/>
    <xf numFmtId="175" fontId="12" fillId="9" borderId="1" xfId="0" applyNumberFormat="1" applyFont="1" applyFill="1" applyBorder="1" applyProtection="1"/>
    <xf numFmtId="166" fontId="0" fillId="0" borderId="0" xfId="2" applyFont="1"/>
    <xf numFmtId="166" fontId="11" fillId="0" borderId="28" xfId="2" applyFont="1" applyBorder="1"/>
    <xf numFmtId="166" fontId="11" fillId="0" borderId="0" xfId="2" applyFont="1"/>
    <xf numFmtId="0" fontId="11" fillId="0" borderId="0" xfId="0" applyFont="1" applyBorder="1"/>
    <xf numFmtId="172" fontId="9" fillId="5" borderId="19" xfId="0" applyNumberFormat="1" applyFont="1" applyFill="1" applyBorder="1"/>
    <xf numFmtId="172" fontId="12" fillId="5" borderId="27" xfId="0" applyNumberFormat="1" applyFont="1" applyFill="1" applyBorder="1"/>
    <xf numFmtId="172" fontId="13" fillId="5" borderId="29" xfId="0" applyNumberFormat="1" applyFont="1" applyFill="1" applyBorder="1"/>
    <xf numFmtId="165" fontId="0" fillId="5" borderId="27" xfId="0" applyNumberFormat="1" applyFill="1" applyBorder="1"/>
    <xf numFmtId="165" fontId="0" fillId="5" borderId="2" xfId="0" applyNumberFormat="1" applyFill="1" applyBorder="1"/>
    <xf numFmtId="164" fontId="0" fillId="5" borderId="2" xfId="0" applyNumberFormat="1" applyFill="1" applyBorder="1"/>
    <xf numFmtId="172" fontId="12" fillId="5" borderId="30" xfId="0" applyNumberFormat="1" applyFont="1" applyFill="1" applyBorder="1"/>
    <xf numFmtId="172" fontId="12" fillId="5" borderId="31" xfId="0" applyNumberFormat="1" applyFont="1" applyFill="1" applyBorder="1"/>
    <xf numFmtId="172" fontId="13" fillId="5" borderId="32" xfId="0" applyNumberFormat="1" applyFont="1" applyFill="1" applyBorder="1"/>
    <xf numFmtId="172" fontId="11" fillId="5" borderId="33" xfId="0" applyNumberFormat="1" applyFont="1" applyFill="1" applyBorder="1" applyAlignment="1">
      <alignment vertical="top" wrapText="1"/>
    </xf>
    <xf numFmtId="172" fontId="11" fillId="5" borderId="34" xfId="0" applyNumberFormat="1" applyFont="1" applyFill="1" applyBorder="1" applyAlignment="1">
      <alignment horizontal="left" vertical="top" wrapText="1"/>
    </xf>
    <xf numFmtId="172" fontId="11" fillId="5" borderId="34" xfId="0" applyNumberFormat="1" applyFont="1" applyFill="1" applyBorder="1" applyAlignment="1">
      <alignment vertical="top" wrapText="1"/>
    </xf>
    <xf numFmtId="172" fontId="9" fillId="5" borderId="34" xfId="0" applyNumberFormat="1" applyFont="1" applyFill="1" applyBorder="1"/>
    <xf numFmtId="172" fontId="9" fillId="5" borderId="35" xfId="0" applyNumberFormat="1" applyFont="1" applyFill="1" applyBorder="1"/>
    <xf numFmtId="165" fontId="0" fillId="5" borderId="6" xfId="0" applyNumberFormat="1" applyFill="1" applyBorder="1"/>
    <xf numFmtId="165" fontId="0" fillId="5" borderId="31" xfId="0" applyNumberFormat="1" applyFill="1" applyBorder="1"/>
    <xf numFmtId="164" fontId="0" fillId="5" borderId="31" xfId="0" applyNumberFormat="1" applyFill="1" applyBorder="1"/>
    <xf numFmtId="177" fontId="9" fillId="5" borderId="22" xfId="0" applyNumberFormat="1" applyFont="1" applyFill="1" applyBorder="1"/>
    <xf numFmtId="177" fontId="9" fillId="5" borderId="23" xfId="0" applyNumberFormat="1" applyFont="1" applyFill="1" applyBorder="1"/>
    <xf numFmtId="177" fontId="8" fillId="5" borderId="25" xfId="3" applyNumberFormat="1" applyFont="1" applyFill="1" applyBorder="1"/>
    <xf numFmtId="177" fontId="8" fillId="5" borderId="23" xfId="3" applyNumberFormat="1" applyFont="1" applyFill="1" applyBorder="1"/>
    <xf numFmtId="177" fontId="13" fillId="5" borderId="25" xfId="3" applyNumberFormat="1" applyFont="1" applyFill="1" applyBorder="1"/>
    <xf numFmtId="177" fontId="12" fillId="5" borderId="23" xfId="3" applyNumberFormat="1" applyFont="1" applyFill="1" applyBorder="1"/>
    <xf numFmtId="177" fontId="13" fillId="5" borderId="24" xfId="3" applyNumberFormat="1" applyFont="1" applyFill="1" applyBorder="1"/>
    <xf numFmtId="177" fontId="9" fillId="5" borderId="23" xfId="3" applyNumberFormat="1" applyFont="1" applyFill="1" applyBorder="1"/>
    <xf numFmtId="0" fontId="8" fillId="5" borderId="21" xfId="0" applyFont="1" applyFill="1" applyBorder="1" applyAlignment="1">
      <alignment wrapText="1"/>
    </xf>
    <xf numFmtId="0" fontId="10" fillId="7" borderId="0" xfId="0" applyFont="1" applyFill="1"/>
    <xf numFmtId="0" fontId="9" fillId="7" borderId="0" xfId="0" applyFont="1" applyFill="1"/>
    <xf numFmtId="0" fontId="8" fillId="7" borderId="3" xfId="0" applyFont="1" applyFill="1" applyBorder="1" applyAlignment="1">
      <alignment horizontal="right"/>
    </xf>
    <xf numFmtId="0" fontId="8" fillId="7" borderId="4" xfId="0" applyFont="1" applyFill="1" applyBorder="1" applyAlignment="1">
      <alignment horizontal="right"/>
    </xf>
    <xf numFmtId="0" fontId="8" fillId="7" borderId="5" xfId="0" applyFont="1" applyFill="1" applyBorder="1" applyAlignment="1">
      <alignment horizontal="right"/>
    </xf>
    <xf numFmtId="0" fontId="8" fillId="7" borderId="21" xfId="0" applyFont="1" applyFill="1" applyBorder="1" applyAlignment="1">
      <alignment horizontal="right"/>
    </xf>
    <xf numFmtId="0" fontId="8" fillId="7" borderId="21" xfId="0" applyFont="1" applyFill="1" applyBorder="1" applyAlignment="1">
      <alignment wrapText="1"/>
    </xf>
    <xf numFmtId="173" fontId="11" fillId="7" borderId="0" xfId="0" applyNumberFormat="1" applyFont="1" applyFill="1" applyAlignment="1">
      <alignment vertical="top" wrapText="1"/>
    </xf>
    <xf numFmtId="172" fontId="11" fillId="7" borderId="33" xfId="0" applyNumberFormat="1" applyFont="1" applyFill="1" applyBorder="1" applyAlignment="1">
      <alignment vertical="top" wrapText="1"/>
    </xf>
    <xf numFmtId="172" fontId="11" fillId="7" borderId="34" xfId="0" applyNumberFormat="1" applyFont="1" applyFill="1" applyBorder="1" applyAlignment="1">
      <alignment horizontal="left" vertical="top" wrapText="1"/>
    </xf>
    <xf numFmtId="172" fontId="11" fillId="7" borderId="34" xfId="0" applyNumberFormat="1" applyFont="1" applyFill="1" applyBorder="1" applyAlignment="1">
      <alignment vertical="top" wrapText="1"/>
    </xf>
    <xf numFmtId="172" fontId="9" fillId="7" borderId="34" xfId="0" applyNumberFormat="1" applyFont="1" applyFill="1" applyBorder="1"/>
    <xf numFmtId="172" fontId="9" fillId="7" borderId="35" xfId="0" applyNumberFormat="1" applyFont="1" applyFill="1" applyBorder="1"/>
    <xf numFmtId="172" fontId="9" fillId="7" borderId="23" xfId="0" applyNumberFormat="1" applyFont="1" applyFill="1" applyBorder="1"/>
    <xf numFmtId="177" fontId="9" fillId="7" borderId="22" xfId="0" applyNumberFormat="1" applyFont="1" applyFill="1" applyBorder="1"/>
    <xf numFmtId="173" fontId="12" fillId="7" borderId="0" xfId="0" applyNumberFormat="1" applyFont="1" applyFill="1"/>
    <xf numFmtId="177" fontId="9" fillId="7" borderId="23" xfId="0" applyNumberFormat="1" applyFont="1" applyFill="1" applyBorder="1"/>
    <xf numFmtId="172" fontId="12" fillId="7" borderId="6" xfId="0" applyNumberFormat="1" applyFont="1" applyFill="1" applyBorder="1"/>
    <xf numFmtId="172" fontId="12" fillId="7" borderId="2" xfId="0" applyNumberFormat="1" applyFont="1" applyFill="1" applyBorder="1"/>
    <xf numFmtId="172" fontId="12" fillId="7" borderId="27" xfId="0" applyNumberFormat="1" applyFont="1" applyFill="1" applyBorder="1"/>
    <xf numFmtId="172" fontId="12" fillId="7" borderId="31" xfId="0" applyNumberFormat="1" applyFont="1" applyFill="1" applyBorder="1"/>
    <xf numFmtId="173" fontId="13" fillId="7" borderId="0" xfId="0" applyNumberFormat="1" applyFont="1" applyFill="1"/>
    <xf numFmtId="172" fontId="13" fillId="7" borderId="12" xfId="0" applyNumberFormat="1" applyFont="1" applyFill="1" applyBorder="1"/>
    <xf numFmtId="172" fontId="13" fillId="7" borderId="1" xfId="0" applyNumberFormat="1" applyFont="1" applyFill="1" applyBorder="1"/>
    <xf numFmtId="172" fontId="13" fillId="7" borderId="29" xfId="0" applyNumberFormat="1" applyFont="1" applyFill="1" applyBorder="1"/>
    <xf numFmtId="172" fontId="13" fillId="7" borderId="32" xfId="0" applyNumberFormat="1" applyFont="1" applyFill="1" applyBorder="1"/>
    <xf numFmtId="172" fontId="13" fillId="7" borderId="24" xfId="0" applyNumberFormat="1" applyFont="1" applyFill="1" applyBorder="1"/>
    <xf numFmtId="177" fontId="8" fillId="7" borderId="25" xfId="3" applyNumberFormat="1" applyFont="1" applyFill="1" applyBorder="1"/>
    <xf numFmtId="177" fontId="8" fillId="7" borderId="23" xfId="3" applyNumberFormat="1" applyFont="1" applyFill="1" applyBorder="1"/>
    <xf numFmtId="172" fontId="12" fillId="7" borderId="30" xfId="0" applyNumberFormat="1" applyFont="1" applyFill="1" applyBorder="1"/>
    <xf numFmtId="172" fontId="12" fillId="7" borderId="7" xfId="0" applyNumberFormat="1" applyFont="1" applyFill="1" applyBorder="1"/>
    <xf numFmtId="172" fontId="13" fillId="7" borderId="13" xfId="0" applyNumberFormat="1" applyFont="1" applyFill="1" applyBorder="1"/>
    <xf numFmtId="172" fontId="12" fillId="7" borderId="2" xfId="0" applyNumberFormat="1" applyFont="1" applyFill="1" applyBorder="1" applyAlignment="1">
      <alignment wrapText="1"/>
    </xf>
    <xf numFmtId="172" fontId="9" fillId="7" borderId="2" xfId="0" applyNumberFormat="1" applyFont="1" applyFill="1" applyBorder="1"/>
    <xf numFmtId="172" fontId="9" fillId="7" borderId="7" xfId="0" applyNumberFormat="1" applyFont="1" applyFill="1" applyBorder="1"/>
    <xf numFmtId="172" fontId="13" fillId="7" borderId="14" xfId="0" applyNumberFormat="1" applyFont="1" applyFill="1" applyBorder="1"/>
    <xf numFmtId="172" fontId="13" fillId="7" borderId="15" xfId="0" applyNumberFormat="1" applyFont="1" applyFill="1" applyBorder="1"/>
    <xf numFmtId="172" fontId="13" fillId="7" borderId="16" xfId="0" applyNumberFormat="1" applyFont="1" applyFill="1" applyBorder="1"/>
    <xf numFmtId="172" fontId="13" fillId="7" borderId="25" xfId="0" applyNumberFormat="1" applyFont="1" applyFill="1" applyBorder="1"/>
    <xf numFmtId="177" fontId="13" fillId="7" borderId="25" xfId="3" applyNumberFormat="1" applyFont="1" applyFill="1" applyBorder="1"/>
    <xf numFmtId="0" fontId="11" fillId="7" borderId="0" xfId="0" applyFont="1" applyFill="1"/>
    <xf numFmtId="177" fontId="12" fillId="7" borderId="23" xfId="3" applyNumberFormat="1" applyFont="1" applyFill="1" applyBorder="1"/>
    <xf numFmtId="173" fontId="11" fillId="7" borderId="0" xfId="0" applyNumberFormat="1" applyFont="1" applyFill="1"/>
    <xf numFmtId="177" fontId="13" fillId="7" borderId="24" xfId="3" applyNumberFormat="1" applyFont="1" applyFill="1" applyBorder="1"/>
    <xf numFmtId="177" fontId="9" fillId="7" borderId="23" xfId="3" applyNumberFormat="1" applyFont="1" applyFill="1" applyBorder="1"/>
    <xf numFmtId="172" fontId="9" fillId="7" borderId="2" xfId="0" applyNumberFormat="1" applyFont="1" applyFill="1" applyBorder="1" applyAlignment="1">
      <alignment wrapText="1"/>
    </xf>
    <xf numFmtId="0" fontId="14" fillId="7" borderId="0" xfId="0" applyFont="1" applyFill="1"/>
    <xf numFmtId="172" fontId="9" fillId="7" borderId="6" xfId="0" applyNumberFormat="1" applyFont="1" applyFill="1" applyBorder="1"/>
    <xf numFmtId="3" fontId="15" fillId="7" borderId="0" xfId="0" applyNumberFormat="1" applyFont="1" applyFill="1"/>
    <xf numFmtId="3" fontId="11" fillId="7" borderId="0" xfId="0" applyNumberFormat="1" applyFont="1" applyFill="1" applyBorder="1"/>
    <xf numFmtId="172" fontId="9" fillId="7" borderId="12" xfId="0" applyNumberFormat="1" applyFont="1" applyFill="1" applyBorder="1"/>
    <xf numFmtId="172" fontId="9" fillId="7" borderId="1" xfId="0" applyNumberFormat="1" applyFont="1" applyFill="1" applyBorder="1"/>
    <xf numFmtId="172" fontId="9" fillId="7" borderId="13" xfId="0" applyNumberFormat="1" applyFont="1" applyFill="1" applyBorder="1"/>
    <xf numFmtId="172" fontId="9" fillId="7" borderId="24" xfId="0" applyNumberFormat="1" applyFont="1" applyFill="1" applyBorder="1"/>
    <xf numFmtId="0" fontId="11" fillId="7" borderId="0" xfId="0" applyFont="1" applyFill="1" applyBorder="1"/>
    <xf numFmtId="172" fontId="9" fillId="7" borderId="14" xfId="0" applyNumberFormat="1" applyFont="1" applyFill="1" applyBorder="1"/>
    <xf numFmtId="172" fontId="9" fillId="7" borderId="15" xfId="0" applyNumberFormat="1" applyFont="1" applyFill="1" applyBorder="1"/>
    <xf numFmtId="172" fontId="9" fillId="7" borderId="16" xfId="0" applyNumberFormat="1" applyFont="1" applyFill="1" applyBorder="1"/>
    <xf numFmtId="172" fontId="9" fillId="7" borderId="25" xfId="0" applyNumberFormat="1" applyFont="1" applyFill="1" applyBorder="1"/>
    <xf numFmtId="0" fontId="12" fillId="7" borderId="0" xfId="0" applyFont="1" applyFill="1" applyBorder="1"/>
    <xf numFmtId="0" fontId="13" fillId="7" borderId="0" xfId="0" applyFont="1" applyFill="1"/>
    <xf numFmtId="172" fontId="13" fillId="7" borderId="6" xfId="0" applyNumberFormat="1" applyFont="1" applyFill="1" applyBorder="1"/>
    <xf numFmtId="172" fontId="13" fillId="7" borderId="2" xfId="0" applyNumberFormat="1" applyFont="1" applyFill="1" applyBorder="1"/>
    <xf numFmtId="172" fontId="13" fillId="7" borderId="7" xfId="0" applyNumberFormat="1" applyFont="1" applyFill="1" applyBorder="1"/>
    <xf numFmtId="172" fontId="12" fillId="7" borderId="0" xfId="0" applyNumberFormat="1" applyFont="1" applyFill="1" applyBorder="1"/>
    <xf numFmtId="172" fontId="12" fillId="7" borderId="0" xfId="0" applyNumberFormat="1" applyFont="1" applyFill="1" applyAlignment="1">
      <alignment wrapText="1"/>
    </xf>
    <xf numFmtId="172" fontId="9" fillId="7" borderId="0" xfId="0" applyNumberFormat="1" applyFont="1" applyFill="1"/>
    <xf numFmtId="165" fontId="0" fillId="0" borderId="6" xfId="0" applyNumberFormat="1" applyFill="1" applyBorder="1" applyProtection="1">
      <protection locked="0"/>
    </xf>
    <xf numFmtId="165" fontId="0" fillId="0" borderId="2" xfId="0" applyNumberFormat="1" applyFill="1" applyBorder="1" applyProtection="1">
      <protection locked="0"/>
    </xf>
    <xf numFmtId="165" fontId="0" fillId="0" borderId="31" xfId="0" applyNumberFormat="1" applyFill="1" applyBorder="1" applyProtection="1">
      <protection locked="0"/>
    </xf>
    <xf numFmtId="172" fontId="0" fillId="0" borderId="6" xfId="0" applyNumberFormat="1" applyFill="1" applyBorder="1" applyProtection="1">
      <protection locked="0"/>
    </xf>
    <xf numFmtId="172" fontId="0" fillId="0" borderId="2" xfId="0" applyNumberFormat="1" applyFill="1" applyBorder="1" applyProtection="1">
      <protection locked="0"/>
    </xf>
    <xf numFmtId="172" fontId="0" fillId="0" borderId="31" xfId="0" applyNumberFormat="1" applyFill="1" applyBorder="1" applyProtection="1">
      <protection locked="0"/>
    </xf>
    <xf numFmtId="172" fontId="12" fillId="0" borderId="6" xfId="0" applyNumberFormat="1" applyFont="1" applyFill="1" applyBorder="1" applyProtection="1">
      <protection locked="0"/>
    </xf>
    <xf numFmtId="172" fontId="12" fillId="0" borderId="27" xfId="0" applyNumberFormat="1" applyFont="1" applyFill="1" applyBorder="1" applyProtection="1">
      <protection locked="0"/>
    </xf>
    <xf numFmtId="172" fontId="12" fillId="0" borderId="2" xfId="0" applyNumberFormat="1" applyFont="1" applyFill="1" applyBorder="1" applyProtection="1">
      <protection locked="0"/>
    </xf>
    <xf numFmtId="172" fontId="12" fillId="0" borderId="7" xfId="0" applyNumberFormat="1" applyFont="1" applyFill="1" applyBorder="1" applyProtection="1">
      <protection locked="0"/>
    </xf>
    <xf numFmtId="9" fontId="9" fillId="0" borderId="0" xfId="3" applyFont="1" applyFill="1" applyBorder="1"/>
    <xf numFmtId="9" fontId="9" fillId="0" borderId="0" xfId="3" applyNumberFormat="1" applyFont="1" applyFill="1" applyBorder="1"/>
    <xf numFmtId="0" fontId="9" fillId="0" borderId="0" xfId="0" applyFont="1" applyBorder="1"/>
    <xf numFmtId="0" fontId="9" fillId="0" borderId="1" xfId="0" applyFont="1" applyFill="1" applyBorder="1" applyProtection="1">
      <protection locked="0"/>
    </xf>
    <xf numFmtId="172" fontId="9" fillId="0" borderId="1" xfId="2" applyNumberFormat="1" applyFont="1" applyFill="1" applyBorder="1" applyProtection="1">
      <protection locked="0"/>
    </xf>
    <xf numFmtId="9" fontId="9" fillId="0" borderId="1" xfId="3" applyFont="1" applyFill="1" applyBorder="1" applyProtection="1">
      <protection locked="0"/>
    </xf>
    <xf numFmtId="9" fontId="9" fillId="0" borderId="1" xfId="3" applyNumberFormat="1" applyFont="1" applyFill="1" applyBorder="1" applyProtection="1">
      <protection locked="0"/>
    </xf>
    <xf numFmtId="172" fontId="9" fillId="0" borderId="1" xfId="0" applyNumberFormat="1" applyFont="1" applyFill="1" applyBorder="1" applyProtection="1">
      <protection locked="0"/>
    </xf>
    <xf numFmtId="172" fontId="9" fillId="8" borderId="1" xfId="2" applyNumberFormat="1" applyFont="1" applyFill="1" applyBorder="1" applyProtection="1">
      <protection locked="0"/>
    </xf>
    <xf numFmtId="0" fontId="0" fillId="4" borderId="0" xfId="0" applyFill="1"/>
    <xf numFmtId="0" fontId="20" fillId="4" borderId="0" xfId="0" applyFont="1" applyFill="1"/>
    <xf numFmtId="0" fontId="19" fillId="4" borderId="0" xfId="0" applyFont="1" applyFill="1"/>
    <xf numFmtId="0" fontId="21" fillId="4" borderId="0" xfId="0" applyFont="1" applyFill="1"/>
    <xf numFmtId="0" fontId="0" fillId="4" borderId="0" xfId="0" applyFill="1" applyProtection="1">
      <protection locked="0"/>
    </xf>
    <xf numFmtId="164" fontId="0" fillId="5" borderId="19" xfId="0" applyNumberFormat="1" applyFill="1" applyBorder="1"/>
    <xf numFmtId="0" fontId="0" fillId="4" borderId="0" xfId="0" applyFill="1" applyAlignment="1">
      <alignment horizontal="left"/>
    </xf>
    <xf numFmtId="14" fontId="19" fillId="4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2" fillId="4" borderId="0" xfId="0" applyFont="1" applyFill="1"/>
    <xf numFmtId="0" fontId="23" fillId="0" borderId="37" xfId="0" applyFont="1" applyFill="1" applyBorder="1"/>
    <xf numFmtId="0" fontId="22" fillId="0" borderId="11" xfId="0" applyFont="1" applyFill="1" applyBorder="1" applyAlignment="1">
      <alignment horizontal="left"/>
    </xf>
    <xf numFmtId="0" fontId="22" fillId="0" borderId="38" xfId="0" applyFont="1" applyFill="1" applyBorder="1" applyAlignment="1">
      <alignment horizontal="left"/>
    </xf>
    <xf numFmtId="0" fontId="22" fillId="4" borderId="0" xfId="0" applyFont="1" applyFill="1" applyAlignment="1">
      <alignment horizontal="left"/>
    </xf>
    <xf numFmtId="0" fontId="23" fillId="0" borderId="37" xfId="0" applyFont="1" applyFill="1" applyBorder="1" applyAlignment="1">
      <alignment horizontal="left"/>
    </xf>
    <xf numFmtId="0" fontId="22" fillId="0" borderId="38" xfId="0" applyFont="1" applyFill="1" applyBorder="1"/>
    <xf numFmtId="0" fontId="22" fillId="0" borderId="0" xfId="0" applyFont="1"/>
    <xf numFmtId="0" fontId="22" fillId="0" borderId="2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0" fontId="22" fillId="0" borderId="20" xfId="0" applyFont="1" applyFill="1" applyBorder="1" applyAlignment="1">
      <alignment horizontal="left"/>
    </xf>
    <xf numFmtId="0" fontId="22" fillId="0" borderId="27" xfId="0" applyFont="1" applyFill="1" applyBorder="1"/>
    <xf numFmtId="176" fontId="22" fillId="0" borderId="0" xfId="0" applyNumberFormat="1" applyFont="1" applyFill="1" applyBorder="1" applyAlignment="1">
      <alignment horizontal="left"/>
    </xf>
    <xf numFmtId="10" fontId="22" fillId="0" borderId="0" xfId="3" applyNumberFormat="1" applyFont="1" applyFill="1" applyBorder="1" applyAlignment="1">
      <alignment horizontal="left"/>
    </xf>
    <xf numFmtId="0" fontId="23" fillId="0" borderId="20" xfId="0" applyFont="1" applyFill="1" applyBorder="1"/>
    <xf numFmtId="0" fontId="23" fillId="0" borderId="0" xfId="0" applyFont="1" applyFill="1" applyBorder="1" applyAlignment="1">
      <alignment horizontal="left"/>
    </xf>
    <xf numFmtId="176" fontId="23" fillId="0" borderId="36" xfId="0" applyNumberFormat="1" applyFont="1" applyFill="1" applyBorder="1" applyAlignment="1">
      <alignment horizontal="left"/>
    </xf>
    <xf numFmtId="0" fontId="22" fillId="0" borderId="39" xfId="0" applyFont="1" applyFill="1" applyBorder="1" applyAlignment="1">
      <alignment horizontal="left"/>
    </xf>
    <xf numFmtId="0" fontId="22" fillId="0" borderId="40" xfId="0" applyFont="1" applyFill="1" applyBorder="1" applyAlignment="1">
      <alignment horizontal="left"/>
    </xf>
    <xf numFmtId="0" fontId="22" fillId="0" borderId="41" xfId="0" applyFont="1" applyFill="1" applyBorder="1"/>
    <xf numFmtId="176" fontId="23" fillId="0" borderId="17" xfId="0" applyNumberFormat="1" applyFont="1" applyFill="1" applyBorder="1" applyAlignment="1">
      <alignment horizontal="left"/>
    </xf>
    <xf numFmtId="176" fontId="23" fillId="0" borderId="28" xfId="0" applyNumberFormat="1" applyFont="1" applyFill="1" applyBorder="1" applyAlignment="1">
      <alignment horizontal="left"/>
    </xf>
    <xf numFmtId="0" fontId="22" fillId="0" borderId="39" xfId="0" applyFont="1" applyFill="1" applyBorder="1"/>
    <xf numFmtId="0" fontId="22" fillId="0" borderId="41" xfId="0" applyFont="1" applyFill="1" applyBorder="1" applyAlignment="1">
      <alignment horizontal="left"/>
    </xf>
    <xf numFmtId="0" fontId="23" fillId="0" borderId="37" xfId="0" applyFont="1" applyFill="1" applyBorder="1" applyProtection="1">
      <protection locked="0"/>
    </xf>
    <xf numFmtId="0" fontId="22" fillId="0" borderId="11" xfId="0" applyFont="1" applyFill="1" applyBorder="1" applyProtection="1">
      <protection locked="0"/>
    </xf>
    <xf numFmtId="0" fontId="22" fillId="0" borderId="38" xfId="0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27" xfId="0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9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24" fillId="7" borderId="0" xfId="0" applyFont="1" applyFill="1"/>
    <xf numFmtId="0" fontId="0" fillId="8" borderId="0" xfId="0" applyFill="1"/>
    <xf numFmtId="0" fontId="21" fillId="8" borderId="0" xfId="0" applyFont="1" applyFill="1"/>
    <xf numFmtId="0" fontId="19" fillId="8" borderId="0" xfId="0" applyFont="1" applyFill="1" applyAlignment="1">
      <alignment horizontal="right"/>
    </xf>
    <xf numFmtId="0" fontId="0" fillId="8" borderId="0" xfId="0" applyFill="1" applyAlignment="1">
      <alignment horizontal="left" vertical="top" wrapText="1"/>
    </xf>
    <xf numFmtId="0" fontId="19" fillId="8" borderId="0" xfId="0" applyFont="1" applyFill="1" applyAlignment="1">
      <alignment horizontal="right" vertical="top"/>
    </xf>
    <xf numFmtId="0" fontId="19" fillId="8" borderId="0" xfId="0" applyFont="1" applyFill="1"/>
    <xf numFmtId="0" fontId="0" fillId="12" borderId="11" xfId="0" applyFill="1" applyBorder="1"/>
    <xf numFmtId="0" fontId="0" fillId="12" borderId="38" xfId="0" applyFill="1" applyBorder="1"/>
    <xf numFmtId="0" fontId="0" fillId="12" borderId="0" xfId="0" applyFill="1" applyBorder="1"/>
    <xf numFmtId="0" fontId="0" fillId="12" borderId="27" xfId="0" applyFill="1" applyBorder="1"/>
    <xf numFmtId="0" fontId="0" fillId="12" borderId="40" xfId="0" applyFill="1" applyBorder="1"/>
    <xf numFmtId="0" fontId="0" fillId="12" borderId="41" xfId="0" applyFill="1" applyBorder="1"/>
    <xf numFmtId="0" fontId="26" fillId="12" borderId="37" xfId="4" applyFont="1" applyFill="1" applyBorder="1"/>
    <xf numFmtId="0" fontId="0" fillId="12" borderId="20" xfId="0" applyFill="1" applyBorder="1"/>
    <xf numFmtId="0" fontId="25" fillId="12" borderId="20" xfId="4" applyFill="1" applyBorder="1"/>
    <xf numFmtId="0" fontId="25" fillId="12" borderId="39" xfId="4" applyFill="1" applyBorder="1"/>
    <xf numFmtId="0" fontId="25" fillId="12" borderId="37" xfId="4" applyFill="1" applyBorder="1"/>
    <xf numFmtId="0" fontId="0" fillId="12" borderId="37" xfId="0" applyFill="1" applyBorder="1"/>
    <xf numFmtId="0" fontId="0" fillId="12" borderId="42" xfId="0" applyFill="1" applyBorder="1"/>
    <xf numFmtId="0" fontId="0" fillId="12" borderId="36" xfId="0" applyFill="1" applyBorder="1"/>
    <xf numFmtId="0" fontId="0" fillId="12" borderId="29" xfId="0" applyFill="1" applyBorder="1"/>
    <xf numFmtId="0" fontId="0" fillId="12" borderId="39" xfId="0" applyFill="1" applyBorder="1"/>
    <xf numFmtId="0" fontId="25" fillId="12" borderId="0" xfId="4" applyFill="1" applyBorder="1"/>
    <xf numFmtId="0" fontId="25" fillId="12" borderId="40" xfId="4" applyFill="1" applyBorder="1"/>
    <xf numFmtId="0" fontId="27" fillId="11" borderId="37" xfId="0" applyFont="1" applyFill="1" applyBorder="1"/>
    <xf numFmtId="0" fontId="19" fillId="11" borderId="11" xfId="0" applyFont="1" applyFill="1" applyBorder="1"/>
    <xf numFmtId="0" fontId="19" fillId="11" borderId="38" xfId="0" applyFont="1" applyFill="1" applyBorder="1"/>
    <xf numFmtId="0" fontId="27" fillId="11" borderId="20" xfId="0" applyFont="1" applyFill="1" applyBorder="1"/>
    <xf numFmtId="0" fontId="19" fillId="11" borderId="0" xfId="0" applyFont="1" applyFill="1" applyBorder="1"/>
    <xf numFmtId="0" fontId="19" fillId="11" borderId="27" xfId="0" applyFont="1" applyFill="1" applyBorder="1"/>
    <xf numFmtId="0" fontId="27" fillId="11" borderId="39" xfId="0" applyFont="1" applyFill="1" applyBorder="1"/>
    <xf numFmtId="0" fontId="19" fillId="11" borderId="40" xfId="0" applyFont="1" applyFill="1" applyBorder="1"/>
    <xf numFmtId="0" fontId="19" fillId="11" borderId="41" xfId="0" applyFont="1" applyFill="1" applyBorder="1"/>
    <xf numFmtId="0" fontId="10" fillId="8" borderId="0" xfId="0" applyFont="1" applyFill="1"/>
    <xf numFmtId="0" fontId="9" fillId="8" borderId="0" xfId="0" applyFont="1" applyFill="1"/>
    <xf numFmtId="0" fontId="8" fillId="8" borderId="0" xfId="0" applyFont="1" applyFill="1" applyProtection="1">
      <protection locked="0"/>
    </xf>
    <xf numFmtId="0" fontId="9" fillId="8" borderId="0" xfId="0" applyFont="1" applyFill="1" applyProtection="1">
      <protection locked="0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172" fontId="10" fillId="0" borderId="6" xfId="2" applyNumberFormat="1" applyFont="1" applyBorder="1"/>
    <xf numFmtId="172" fontId="10" fillId="0" borderId="2" xfId="2" applyNumberFormat="1" applyFont="1" applyBorder="1"/>
    <xf numFmtId="172" fontId="10" fillId="0" borderId="7" xfId="2" applyNumberFormat="1" applyFont="1" applyBorder="1"/>
    <xf numFmtId="172" fontId="5" fillId="0" borderId="6" xfId="0" applyNumberFormat="1" applyFont="1" applyBorder="1"/>
    <xf numFmtId="172" fontId="5" fillId="0" borderId="2" xfId="0" applyNumberFormat="1" applyFont="1" applyBorder="1"/>
    <xf numFmtId="172" fontId="5" fillId="0" borderId="7" xfId="0" applyNumberFormat="1" applyFont="1" applyBorder="1"/>
    <xf numFmtId="172" fontId="5" fillId="0" borderId="6" xfId="2" applyNumberFormat="1" applyFont="1" applyBorder="1"/>
    <xf numFmtId="172" fontId="5" fillId="0" borderId="2" xfId="2" applyNumberFormat="1" applyFont="1" applyBorder="1"/>
    <xf numFmtId="172" fontId="5" fillId="0" borderId="7" xfId="2" applyNumberFormat="1" applyFont="1" applyBorder="1"/>
    <xf numFmtId="172" fontId="5" fillId="0" borderId="6" xfId="2" applyNumberFormat="1" applyFont="1" applyFill="1" applyBorder="1"/>
    <xf numFmtId="172" fontId="5" fillId="0" borderId="2" xfId="2" applyNumberFormat="1" applyFont="1" applyFill="1" applyBorder="1"/>
    <xf numFmtId="172" fontId="5" fillId="0" borderId="7" xfId="2" applyNumberFormat="1" applyFont="1" applyFill="1" applyBorder="1"/>
    <xf numFmtId="172" fontId="5" fillId="0" borderId="6" xfId="3" applyNumberFormat="1" applyFont="1" applyBorder="1"/>
    <xf numFmtId="172" fontId="5" fillId="0" borderId="2" xfId="3" applyNumberFormat="1" applyFont="1" applyBorder="1"/>
    <xf numFmtId="172" fontId="10" fillId="0" borderId="12" xfId="2" applyNumberFormat="1" applyFont="1" applyBorder="1"/>
    <xf numFmtId="172" fontId="10" fillId="0" borderId="1" xfId="2" applyNumberFormat="1" applyFont="1" applyBorder="1"/>
    <xf numFmtId="172" fontId="10" fillId="0" borderId="13" xfId="2" applyNumberFormat="1" applyFont="1" applyBorder="1"/>
    <xf numFmtId="172" fontId="5" fillId="0" borderId="8" xfId="0" applyNumberFormat="1" applyFont="1" applyBorder="1"/>
    <xf numFmtId="172" fontId="5" fillId="0" borderId="9" xfId="0" applyNumberFormat="1" applyFont="1" applyBorder="1"/>
    <xf numFmtId="172" fontId="5" fillId="0" borderId="10" xfId="0" applyNumberFormat="1" applyFont="1" applyBorder="1"/>
    <xf numFmtId="172" fontId="10" fillId="4" borderId="3" xfId="0" applyNumberFormat="1" applyFont="1" applyFill="1" applyBorder="1"/>
    <xf numFmtId="172" fontId="10" fillId="4" borderId="4" xfId="0" applyNumberFormat="1" applyFont="1" applyFill="1" applyBorder="1"/>
    <xf numFmtId="172" fontId="10" fillId="4" borderId="5" xfId="0" applyNumberFormat="1" applyFont="1" applyFill="1" applyBorder="1"/>
    <xf numFmtId="172" fontId="10" fillId="10" borderId="3" xfId="2" applyNumberFormat="1" applyFont="1" applyFill="1" applyBorder="1"/>
    <xf numFmtId="172" fontId="10" fillId="10" borderId="4" xfId="2" applyNumberFormat="1" applyFont="1" applyFill="1" applyBorder="1"/>
    <xf numFmtId="172" fontId="10" fillId="10" borderId="5" xfId="2" applyNumberFormat="1" applyFont="1" applyFill="1" applyBorder="1"/>
    <xf numFmtId="0" fontId="9" fillId="8" borderId="0" xfId="0" applyFont="1" applyFill="1" applyBorder="1"/>
    <xf numFmtId="0" fontId="8" fillId="8" borderId="0" xfId="0" applyFont="1" applyFill="1"/>
    <xf numFmtId="0" fontId="2" fillId="8" borderId="0" xfId="0" applyFont="1" applyFill="1"/>
    <xf numFmtId="0" fontId="29" fillId="11" borderId="20" xfId="0" applyFont="1" applyFill="1" applyBorder="1"/>
    <xf numFmtId="167" fontId="9" fillId="0" borderId="1" xfId="1" applyFont="1" applyFill="1" applyBorder="1" applyProtection="1">
      <protection locked="0"/>
    </xf>
    <xf numFmtId="0" fontId="0" fillId="12" borderId="20" xfId="0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0" fillId="12" borderId="27" xfId="0" applyFill="1" applyBorder="1" applyAlignment="1">
      <alignment horizontal="left" vertical="top" wrapText="1"/>
    </xf>
    <xf numFmtId="0" fontId="0" fillId="12" borderId="39" xfId="0" applyFill="1" applyBorder="1" applyAlignment="1">
      <alignment horizontal="left" vertical="top" wrapText="1"/>
    </xf>
    <xf numFmtId="0" fontId="0" fillId="12" borderId="40" xfId="0" applyFill="1" applyBorder="1" applyAlignment="1">
      <alignment horizontal="left" vertical="top" wrapText="1"/>
    </xf>
    <xf numFmtId="0" fontId="0" fillId="12" borderId="41" xfId="0" applyFill="1" applyBorder="1" applyAlignment="1">
      <alignment horizontal="left" vertical="top" wrapText="1"/>
    </xf>
    <xf numFmtId="0" fontId="0" fillId="12" borderId="37" xfId="0" applyFill="1" applyBorder="1" applyAlignment="1">
      <alignment horizontal="left" vertical="top" wrapText="1"/>
    </xf>
    <xf numFmtId="0" fontId="0" fillId="12" borderId="11" xfId="0" applyFill="1" applyBorder="1" applyAlignment="1">
      <alignment horizontal="left" vertical="top" wrapText="1"/>
    </xf>
    <xf numFmtId="0" fontId="0" fillId="12" borderId="38" xfId="0" applyFill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114300</xdr:rowOff>
    </xdr:from>
    <xdr:to>
      <xdr:col>14</xdr:col>
      <xdr:colOff>18648</xdr:colOff>
      <xdr:row>2</xdr:row>
      <xdr:rowOff>131869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114300"/>
          <a:ext cx="1228323" cy="493819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238124</xdr:colOff>
      <xdr:row>0</xdr:row>
      <xdr:rowOff>47625</xdr:rowOff>
    </xdr:from>
    <xdr:to>
      <xdr:col>11</xdr:col>
      <xdr:colOff>514349</xdr:colOff>
      <xdr:row>3</xdr:row>
      <xdr:rowOff>14216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199" y="47625"/>
          <a:ext cx="2105025" cy="63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228600</xdr:rowOff>
    </xdr:from>
    <xdr:to>
      <xdr:col>11</xdr:col>
      <xdr:colOff>799698</xdr:colOff>
      <xdr:row>2</xdr:row>
      <xdr:rowOff>201719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675" y="228600"/>
          <a:ext cx="1231499" cy="493819"/>
        </a:xfrm>
        <a:prstGeom prst="rect">
          <a:avLst/>
        </a:prstGeom>
      </xdr:spPr>
    </xdr:pic>
    <xdr:clientData/>
  </xdr:twoCellAnchor>
  <xdr:twoCellAnchor editAs="oneCell">
    <xdr:from>
      <xdr:col>12</xdr:col>
      <xdr:colOff>101600</xdr:colOff>
      <xdr:row>0</xdr:row>
      <xdr:rowOff>25400</xdr:rowOff>
    </xdr:from>
    <xdr:to>
      <xdr:col>15</xdr:col>
      <xdr:colOff>1181100</xdr:colOff>
      <xdr:row>3</xdr:row>
      <xdr:rowOff>35254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25400"/>
          <a:ext cx="2565400" cy="771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57150</xdr:rowOff>
    </xdr:from>
    <xdr:to>
      <xdr:col>10</xdr:col>
      <xdr:colOff>304800</xdr:colOff>
      <xdr:row>2</xdr:row>
      <xdr:rowOff>194081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7150"/>
          <a:ext cx="1228725" cy="498881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380999</xdr:colOff>
      <xdr:row>0</xdr:row>
      <xdr:rowOff>47626</xdr:rowOff>
    </xdr:from>
    <xdr:to>
      <xdr:col>8</xdr:col>
      <xdr:colOff>504824</xdr:colOff>
      <xdr:row>2</xdr:row>
      <xdr:rowOff>187190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4" y="47626"/>
          <a:ext cx="1666875" cy="501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0</xdr:row>
      <xdr:rowOff>130969</xdr:rowOff>
    </xdr:from>
    <xdr:to>
      <xdr:col>9</xdr:col>
      <xdr:colOff>978693</xdr:colOff>
      <xdr:row>3</xdr:row>
      <xdr:rowOff>22631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7344" y="130969"/>
          <a:ext cx="1228725" cy="49888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83345</xdr:rowOff>
    </xdr:from>
    <xdr:to>
      <xdr:col>8</xdr:col>
      <xdr:colOff>604837</xdr:colOff>
      <xdr:row>3</xdr:row>
      <xdr:rowOff>152453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2281" y="83345"/>
          <a:ext cx="2247899" cy="6763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345282</xdr:colOff>
      <xdr:row>2</xdr:row>
      <xdr:rowOff>59532</xdr:rowOff>
    </xdr:from>
    <xdr:to>
      <xdr:col>10</xdr:col>
      <xdr:colOff>752476</xdr:colOff>
      <xdr:row>4</xdr:row>
      <xdr:rowOff>189319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095" y="440532"/>
          <a:ext cx="1228725" cy="498881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142876</xdr:colOff>
      <xdr:row>1</xdr:row>
      <xdr:rowOff>154781</xdr:rowOff>
    </xdr:from>
    <xdr:to>
      <xdr:col>9</xdr:col>
      <xdr:colOff>273844</xdr:colOff>
      <xdr:row>5</xdr:row>
      <xdr:rowOff>148531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369094"/>
          <a:ext cx="2393156" cy="720031"/>
        </a:xfrm>
        <a:prstGeom prst="rect">
          <a:avLst/>
        </a:prstGeom>
      </xdr:spPr>
    </xdr:pic>
    <xdr:clientData/>
  </xdr:twoCellAnchor>
  <xdr:twoCellAnchor editAs="oneCell">
    <xdr:from>
      <xdr:col>17</xdr:col>
      <xdr:colOff>107157</xdr:colOff>
      <xdr:row>2</xdr:row>
      <xdr:rowOff>0</xdr:rowOff>
    </xdr:from>
    <xdr:to>
      <xdr:col>20</xdr:col>
      <xdr:colOff>547688</xdr:colOff>
      <xdr:row>5</xdr:row>
      <xdr:rowOff>160437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2532" y="381000"/>
          <a:ext cx="2393156" cy="720031"/>
        </a:xfrm>
        <a:prstGeom prst="rect">
          <a:avLst/>
        </a:prstGeom>
      </xdr:spPr>
    </xdr:pic>
    <xdr:clientData/>
  </xdr:twoCellAnchor>
  <xdr:twoCellAnchor editAs="oneCell">
    <xdr:from>
      <xdr:col>21</xdr:col>
      <xdr:colOff>35720</xdr:colOff>
      <xdr:row>2</xdr:row>
      <xdr:rowOff>82630</xdr:rowOff>
    </xdr:from>
    <xdr:to>
      <xdr:col>22</xdr:col>
      <xdr:colOff>669133</xdr:colOff>
      <xdr:row>5</xdr:row>
      <xdr:rowOff>70258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9033" y="463630"/>
          <a:ext cx="1347788" cy="54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bagley@thedrbgroup.co.uk" TargetMode="External"/><Relationship Id="rId2" Type="http://schemas.openxmlformats.org/officeDocument/2006/relationships/hyperlink" Target="mailto:yolanda.morley-mckay@acumenassociates.org" TargetMode="External"/><Relationship Id="rId1" Type="http://schemas.openxmlformats.org/officeDocument/2006/relationships/hyperlink" Target="mailto:Andrew.Martin@churchofengland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35"/>
  <sheetViews>
    <sheetView tabSelected="1" workbookViewId="0">
      <selection activeCell="G8" sqref="G8"/>
    </sheetView>
  </sheetViews>
  <sheetFormatPr defaultColWidth="9.125" defaultRowHeight="15" x14ac:dyDescent="0.25"/>
  <cols>
    <col min="1" max="1" width="14.375" style="297" customWidth="1"/>
    <col min="2" max="2" width="19.75" style="292" customWidth="1"/>
    <col min="3" max="16384" width="9.125" style="292"/>
  </cols>
  <sheetData>
    <row r="1" spans="1:14" ht="18.75" x14ac:dyDescent="0.3">
      <c r="A1" s="293" t="s">
        <v>257</v>
      </c>
    </row>
    <row r="2" spans="1:14" ht="18.75" x14ac:dyDescent="0.3">
      <c r="A2" s="293"/>
    </row>
    <row r="4" spans="1:14" ht="21" customHeight="1" x14ac:dyDescent="0.25">
      <c r="A4" s="316" t="s">
        <v>220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8"/>
    </row>
    <row r="5" spans="1:14" ht="21" customHeight="1" x14ac:dyDescent="0.25">
      <c r="A5" s="319" t="s">
        <v>221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1"/>
    </row>
    <row r="6" spans="1:14" ht="21" customHeight="1" x14ac:dyDescent="0.25">
      <c r="A6" s="367" t="s">
        <v>261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1"/>
    </row>
    <row r="7" spans="1:14" ht="21" customHeight="1" x14ac:dyDescent="0.25">
      <c r="A7" s="322" t="s">
        <v>246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4"/>
    </row>
    <row r="9" spans="1:14" x14ac:dyDescent="0.25">
      <c r="A9" s="294" t="s">
        <v>227</v>
      </c>
      <c r="B9" s="304" t="s">
        <v>222</v>
      </c>
      <c r="C9" s="298" t="s">
        <v>259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</row>
    <row r="10" spans="1:14" x14ac:dyDescent="0.25">
      <c r="A10" s="294"/>
      <c r="B10" s="305"/>
      <c r="C10" s="300" t="s">
        <v>260</v>
      </c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1"/>
    </row>
    <row r="11" spans="1:14" x14ac:dyDescent="0.25">
      <c r="A11" s="294"/>
      <c r="B11" s="305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1"/>
    </row>
    <row r="12" spans="1:14" x14ac:dyDescent="0.25">
      <c r="A12" s="294"/>
      <c r="B12" s="305" t="s">
        <v>223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1"/>
    </row>
    <row r="13" spans="1:14" x14ac:dyDescent="0.25">
      <c r="A13" s="294"/>
      <c r="B13" s="306" t="s">
        <v>226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1"/>
    </row>
    <row r="14" spans="1:14" x14ac:dyDescent="0.25">
      <c r="A14" s="294"/>
      <c r="B14" s="306" t="s">
        <v>224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1"/>
    </row>
    <row r="15" spans="1:14" x14ac:dyDescent="0.25">
      <c r="A15" s="294"/>
      <c r="B15" s="307" t="s">
        <v>225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3"/>
    </row>
    <row r="16" spans="1:14" x14ac:dyDescent="0.25">
      <c r="A16" s="294"/>
    </row>
    <row r="17" spans="1:14" x14ac:dyDescent="0.25">
      <c r="A17" s="294" t="s">
        <v>228</v>
      </c>
      <c r="B17" s="308" t="s">
        <v>226</v>
      </c>
      <c r="C17" s="298" t="s">
        <v>244</v>
      </c>
      <c r="D17" s="298"/>
      <c r="E17" s="309"/>
      <c r="F17" s="298"/>
      <c r="G17" s="298"/>
      <c r="H17" s="298"/>
      <c r="I17" s="298"/>
      <c r="J17" s="298"/>
      <c r="K17" s="298"/>
      <c r="L17" s="298"/>
      <c r="M17" s="298"/>
      <c r="N17" s="299"/>
    </row>
    <row r="18" spans="1:14" ht="15" customHeight="1" x14ac:dyDescent="0.25">
      <c r="A18" s="294"/>
      <c r="B18" s="369" t="s">
        <v>250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1"/>
    </row>
    <row r="19" spans="1:14" x14ac:dyDescent="0.25">
      <c r="A19" s="294"/>
      <c r="B19" s="372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4"/>
    </row>
    <row r="20" spans="1:14" x14ac:dyDescent="0.25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</row>
    <row r="21" spans="1:14" x14ac:dyDescent="0.25">
      <c r="A21" s="294" t="s">
        <v>229</v>
      </c>
      <c r="B21" s="310" t="s">
        <v>230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2"/>
    </row>
    <row r="22" spans="1:14" x14ac:dyDescent="0.25">
      <c r="A22" s="294"/>
    </row>
    <row r="23" spans="1:14" x14ac:dyDescent="0.25">
      <c r="A23" s="294" t="s">
        <v>231</v>
      </c>
      <c r="B23" s="308" t="s">
        <v>245</v>
      </c>
      <c r="C23" s="298" t="s">
        <v>232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9"/>
    </row>
    <row r="24" spans="1:14" x14ac:dyDescent="0.25">
      <c r="A24" s="294"/>
      <c r="B24" s="305" t="s">
        <v>243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1"/>
    </row>
    <row r="25" spans="1:14" x14ac:dyDescent="0.25">
      <c r="A25" s="294"/>
      <c r="B25" s="313" t="s">
        <v>247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3"/>
    </row>
    <row r="26" spans="1:14" x14ac:dyDescent="0.25">
      <c r="A26" s="294"/>
    </row>
    <row r="27" spans="1:14" ht="30" customHeight="1" x14ac:dyDescent="0.25">
      <c r="A27" s="296" t="s">
        <v>233</v>
      </c>
      <c r="B27" s="375" t="s">
        <v>258</v>
      </c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7"/>
    </row>
    <row r="28" spans="1:14" ht="29.25" customHeight="1" x14ac:dyDescent="0.25">
      <c r="A28" s="294"/>
      <c r="B28" s="369" t="s">
        <v>234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1"/>
    </row>
    <row r="29" spans="1:14" ht="29.25" customHeight="1" x14ac:dyDescent="0.25">
      <c r="A29" s="294"/>
      <c r="B29" s="372" t="s">
        <v>235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4"/>
    </row>
    <row r="30" spans="1:14" x14ac:dyDescent="0.25">
      <c r="A30" s="294"/>
    </row>
    <row r="31" spans="1:14" x14ac:dyDescent="0.25">
      <c r="A31" s="294"/>
    </row>
    <row r="32" spans="1:14" x14ac:dyDescent="0.25">
      <c r="A32" s="294" t="s">
        <v>240</v>
      </c>
      <c r="B32" s="309" t="s">
        <v>256</v>
      </c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9"/>
    </row>
    <row r="33" spans="1:14" x14ac:dyDescent="0.25">
      <c r="A33" s="294"/>
      <c r="B33" s="305" t="s">
        <v>236</v>
      </c>
      <c r="C33" s="314" t="s">
        <v>238</v>
      </c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1"/>
    </row>
    <row r="34" spans="1:14" x14ac:dyDescent="0.25">
      <c r="A34" s="294"/>
      <c r="B34" s="305" t="s">
        <v>241</v>
      </c>
      <c r="C34" s="314" t="s">
        <v>242</v>
      </c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1"/>
    </row>
    <row r="35" spans="1:14" x14ac:dyDescent="0.25">
      <c r="A35" s="294"/>
      <c r="B35" s="313" t="s">
        <v>237</v>
      </c>
      <c r="C35" s="315" t="s">
        <v>239</v>
      </c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3"/>
    </row>
  </sheetData>
  <sheetProtection password="C933" sheet="1" objects="1" scenarios="1"/>
  <mergeCells count="4">
    <mergeCell ref="B18:N19"/>
    <mergeCell ref="B27:N27"/>
    <mergeCell ref="B28:N28"/>
    <mergeCell ref="B29:N29"/>
  </mergeCells>
  <hyperlinks>
    <hyperlink ref="B9" location="'1. Schools Data Sheet'!A1" display="1.Schools Data Sheet"/>
    <hyperlink ref="B17" location="'2. Projected Funding'!A1" display="2. Projected Funding "/>
    <hyperlink ref="B23" location="Overview!A1" display="Overview Sheet"/>
    <hyperlink ref="C33" r:id="rId1"/>
    <hyperlink ref="C35" r:id="rId2"/>
    <hyperlink ref="C34" r:id="rId3"/>
    <hyperlink ref="B15" location="Overview!A1" display="Overview"/>
    <hyperlink ref="B14" location="'3. Projected Schools Budget'!A1" display="3. Projected Schools Budget"/>
    <hyperlink ref="B13" location="'2. Projected Funding'!A1" display="2. Projected Funding 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A284"/>
  <sheetViews>
    <sheetView showGridLines="0" zoomScale="75" zoomScaleNormal="75" workbookViewId="0">
      <selection activeCell="N32" sqref="N32"/>
    </sheetView>
  </sheetViews>
  <sheetFormatPr defaultRowHeight="15" x14ac:dyDescent="0.25"/>
  <cols>
    <col min="1" max="1" width="2.875" customWidth="1"/>
    <col min="2" max="2" width="29.25" customWidth="1"/>
    <col min="3" max="3" width="10.625" style="253" bestFit="1" customWidth="1"/>
    <col min="4" max="4" width="12" style="253" customWidth="1"/>
    <col min="5" max="5" width="14" style="253" customWidth="1"/>
    <col min="6" max="6" width="12.75" style="253" customWidth="1"/>
    <col min="7" max="7" width="14.625" style="253" customWidth="1"/>
    <col min="8" max="10" width="10.625" style="253" bestFit="1" customWidth="1"/>
    <col min="11" max="11" width="12.625" style="253" customWidth="1"/>
    <col min="12" max="12" width="15.25" customWidth="1"/>
    <col min="13" max="13" width="3.625" customWidth="1"/>
    <col min="14" max="14" width="9.625" customWidth="1"/>
    <col min="16" max="16" width="19.625" customWidth="1"/>
    <col min="17" max="17" width="64.875" customWidth="1"/>
    <col min="18" max="18" width="2.375" customWidth="1"/>
  </cols>
  <sheetData>
    <row r="1" spans="1:105" ht="21" x14ac:dyDescent="0.35">
      <c r="A1" s="246" t="s">
        <v>216</v>
      </c>
      <c r="B1" s="245"/>
      <c r="C1" s="251"/>
      <c r="D1" s="251"/>
      <c r="E1" s="251"/>
      <c r="F1" s="251"/>
      <c r="G1" s="251"/>
      <c r="H1" s="251"/>
      <c r="I1" s="251"/>
      <c r="J1" s="251"/>
      <c r="K1" s="251"/>
      <c r="L1" s="245"/>
      <c r="M1" s="292"/>
      <c r="N1" s="292"/>
      <c r="O1" s="292"/>
      <c r="P1" s="292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</row>
    <row r="2" spans="1:105" ht="20.25" customHeight="1" x14ac:dyDescent="0.25">
      <c r="A2" s="247"/>
      <c r="B2" s="245"/>
      <c r="C2" s="251"/>
      <c r="D2" s="251"/>
      <c r="E2" s="251"/>
      <c r="F2" s="251"/>
      <c r="G2" s="251"/>
      <c r="H2" s="251"/>
      <c r="I2" s="251"/>
      <c r="J2" s="251"/>
      <c r="K2" s="251"/>
      <c r="L2" s="245"/>
      <c r="M2" s="292"/>
      <c r="N2" s="292"/>
      <c r="O2" s="292"/>
      <c r="P2" s="292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</row>
    <row r="3" spans="1:105" ht="18.75" x14ac:dyDescent="0.3">
      <c r="A3" s="248" t="s">
        <v>201</v>
      </c>
      <c r="B3" s="245"/>
      <c r="C3" s="252"/>
      <c r="D3" s="251"/>
      <c r="E3" s="251"/>
      <c r="F3" s="251"/>
      <c r="G3" s="251"/>
      <c r="H3" s="251"/>
      <c r="I3" s="251"/>
      <c r="J3" s="251"/>
      <c r="K3" s="251"/>
      <c r="L3" s="245"/>
      <c r="M3" s="292"/>
      <c r="N3" s="292"/>
      <c r="O3" s="292"/>
      <c r="P3" s="292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</row>
    <row r="4" spans="1:105" x14ac:dyDescent="0.25">
      <c r="A4" s="245"/>
      <c r="B4" s="245"/>
      <c r="C4" s="251"/>
      <c r="D4" s="251"/>
      <c r="E4" s="251"/>
      <c r="F4" s="251"/>
      <c r="G4" s="251"/>
      <c r="H4" s="251"/>
      <c r="I4" s="251"/>
      <c r="J4" s="251"/>
      <c r="K4" s="251"/>
      <c r="L4" s="245"/>
      <c r="M4" s="245"/>
      <c r="N4" s="249"/>
      <c r="O4" s="249"/>
      <c r="P4" s="249"/>
      <c r="Q4" s="249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</row>
    <row r="5" spans="1:105" s="261" customFormat="1" ht="18.75" customHeight="1" x14ac:dyDescent="0.25">
      <c r="A5" s="254"/>
      <c r="B5" s="255" t="s">
        <v>217</v>
      </c>
      <c r="C5" s="256"/>
      <c r="D5" s="256"/>
      <c r="E5" s="257"/>
      <c r="F5" s="258"/>
      <c r="G5" s="259" t="s">
        <v>214</v>
      </c>
      <c r="H5" s="256"/>
      <c r="I5" s="256"/>
      <c r="J5" s="256"/>
      <c r="K5" s="256"/>
      <c r="L5" s="260"/>
      <c r="M5" s="254"/>
      <c r="N5" s="279" t="s">
        <v>215</v>
      </c>
      <c r="O5" s="280"/>
      <c r="P5" s="280"/>
      <c r="Q5" s="281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</row>
    <row r="6" spans="1:105" s="261" customFormat="1" ht="18.75" customHeight="1" x14ac:dyDescent="0.25">
      <c r="A6" s="254"/>
      <c r="B6" s="262"/>
      <c r="C6" s="263"/>
      <c r="D6" s="263"/>
      <c r="E6" s="264"/>
      <c r="F6" s="258"/>
      <c r="G6" s="265"/>
      <c r="H6" s="263"/>
      <c r="I6" s="263"/>
      <c r="J6" s="263"/>
      <c r="K6" s="263"/>
      <c r="L6" s="266"/>
      <c r="M6" s="254"/>
      <c r="N6" s="282"/>
      <c r="O6" s="283"/>
      <c r="P6" s="283"/>
      <c r="Q6" s="28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</row>
    <row r="7" spans="1:105" s="261" customFormat="1" ht="18.75" customHeight="1" x14ac:dyDescent="0.25">
      <c r="A7" s="254"/>
      <c r="B7" s="262" t="str">
        <f>'3. Projected Schools Budget'!A89</f>
        <v>Employees</v>
      </c>
      <c r="C7" s="263"/>
      <c r="D7" s="267">
        <f>'3. Projected Schools Budget'!J89</f>
        <v>2544617.08</v>
      </c>
      <c r="E7" s="264"/>
      <c r="F7" s="258"/>
      <c r="G7" s="265" t="str">
        <f t="shared" ref="G7:G16" si="0">B7</f>
        <v>Employees</v>
      </c>
      <c r="H7" s="263"/>
      <c r="I7" s="263"/>
      <c r="J7" s="268">
        <f t="shared" ref="J7:J16" si="1">(D7/$D$24)</f>
        <v>0.70876272295195375</v>
      </c>
      <c r="K7" s="263"/>
      <c r="L7" s="266"/>
      <c r="M7" s="254"/>
      <c r="N7" s="282"/>
      <c r="O7" s="283"/>
      <c r="P7" s="283"/>
      <c r="Q7" s="28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</row>
    <row r="8" spans="1:105" s="261" customFormat="1" ht="18.75" customHeight="1" x14ac:dyDescent="0.25">
      <c r="A8" s="254"/>
      <c r="B8" s="262" t="str">
        <f>'3. Projected Schools Budget'!A90</f>
        <v>Other Employee Costs</v>
      </c>
      <c r="C8" s="263"/>
      <c r="D8" s="267">
        <f>'3. Projected Schools Budget'!J90</f>
        <v>101158</v>
      </c>
      <c r="E8" s="264"/>
      <c r="F8" s="258"/>
      <c r="G8" s="265" t="str">
        <f t="shared" si="0"/>
        <v>Other Employee Costs</v>
      </c>
      <c r="H8" s="263"/>
      <c r="I8" s="263"/>
      <c r="J8" s="268">
        <f t="shared" si="1"/>
        <v>2.8175956253651234E-2</v>
      </c>
      <c r="K8" s="263"/>
      <c r="L8" s="266"/>
      <c r="M8" s="254"/>
      <c r="N8" s="282"/>
      <c r="O8" s="283"/>
      <c r="P8" s="283"/>
      <c r="Q8" s="28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</row>
    <row r="9" spans="1:105" s="261" customFormat="1" ht="18.75" customHeight="1" x14ac:dyDescent="0.25">
      <c r="A9" s="254"/>
      <c r="B9" s="262" t="str">
        <f>'3. Projected Schools Budget'!A91</f>
        <v>Pupil Premium</v>
      </c>
      <c r="C9" s="263"/>
      <c r="D9" s="267">
        <f>'3. Projected Schools Budget'!J91</f>
        <v>151800</v>
      </c>
      <c r="E9" s="264"/>
      <c r="F9" s="258"/>
      <c r="G9" s="265" t="str">
        <f t="shared" si="0"/>
        <v>Pupil Premium</v>
      </c>
      <c r="H9" s="263"/>
      <c r="I9" s="263"/>
      <c r="J9" s="268">
        <f t="shared" si="1"/>
        <v>4.2281482031122176E-2</v>
      </c>
      <c r="K9" s="263"/>
      <c r="L9" s="266"/>
      <c r="M9" s="254"/>
      <c r="N9" s="282"/>
      <c r="O9" s="283"/>
      <c r="P9" s="283"/>
      <c r="Q9" s="28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</row>
    <row r="10" spans="1:105" s="261" customFormat="1" ht="18.75" customHeight="1" x14ac:dyDescent="0.25">
      <c r="A10" s="254"/>
      <c r="B10" s="262" t="str">
        <f>'3. Projected Schools Budget'!A92</f>
        <v>In Service Training</v>
      </c>
      <c r="C10" s="263"/>
      <c r="D10" s="267">
        <f>'3. Projected Schools Budget'!J92</f>
        <v>41023</v>
      </c>
      <c r="E10" s="264"/>
      <c r="F10" s="258"/>
      <c r="G10" s="265" t="str">
        <f t="shared" si="0"/>
        <v>In Service Training</v>
      </c>
      <c r="H10" s="263"/>
      <c r="I10" s="263"/>
      <c r="J10" s="268">
        <f t="shared" si="1"/>
        <v>1.1426305911480403E-2</v>
      </c>
      <c r="K10" s="263"/>
      <c r="L10" s="266"/>
      <c r="M10" s="254"/>
      <c r="N10" s="282"/>
      <c r="O10" s="283"/>
      <c r="P10" s="283"/>
      <c r="Q10" s="28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</row>
    <row r="11" spans="1:105" s="261" customFormat="1" ht="18.75" customHeight="1" x14ac:dyDescent="0.25">
      <c r="A11" s="254"/>
      <c r="B11" s="262" t="str">
        <f>'3. Projected Schools Budget'!A93</f>
        <v>Capitation</v>
      </c>
      <c r="C11" s="263"/>
      <c r="D11" s="267">
        <f>'3. Projected Schools Budget'!J93</f>
        <v>158426.12</v>
      </c>
      <c r="E11" s="264"/>
      <c r="F11" s="258"/>
      <c r="G11" s="265" t="str">
        <f t="shared" si="0"/>
        <v>Capitation</v>
      </c>
      <c r="H11" s="263"/>
      <c r="I11" s="263"/>
      <c r="J11" s="268">
        <f t="shared" si="1"/>
        <v>4.4127082648487519E-2</v>
      </c>
      <c r="K11" s="263"/>
      <c r="L11" s="266"/>
      <c r="M11" s="254"/>
      <c r="N11" s="282"/>
      <c r="O11" s="283"/>
      <c r="P11" s="283"/>
      <c r="Q11" s="28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</row>
    <row r="12" spans="1:105" s="261" customFormat="1" ht="18.75" customHeight="1" x14ac:dyDescent="0.25">
      <c r="A12" s="254"/>
      <c r="B12" s="262" t="str">
        <f>'3. Projected Schools Budget'!A94</f>
        <v>Premises</v>
      </c>
      <c r="C12" s="263"/>
      <c r="D12" s="267">
        <f>'3. Projected Schools Budget'!J94</f>
        <v>304880</v>
      </c>
      <c r="E12" s="264"/>
      <c r="F12" s="258"/>
      <c r="G12" s="265" t="str">
        <f t="shared" si="0"/>
        <v>Premises</v>
      </c>
      <c r="H12" s="263"/>
      <c r="I12" s="263"/>
      <c r="J12" s="268">
        <f t="shared" si="1"/>
        <v>8.4919487757895443E-2</v>
      </c>
      <c r="K12" s="263"/>
      <c r="L12" s="266"/>
      <c r="M12" s="254"/>
      <c r="N12" s="282"/>
      <c r="O12" s="283"/>
      <c r="P12" s="283"/>
      <c r="Q12" s="28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</row>
    <row r="13" spans="1:105" s="261" customFormat="1" ht="18.75" customHeight="1" x14ac:dyDescent="0.25">
      <c r="A13" s="254"/>
      <c r="B13" s="262" t="str">
        <f>'3. Projected Schools Budget'!A95</f>
        <v>Supplies &amp; Services</v>
      </c>
      <c r="C13" s="263"/>
      <c r="D13" s="267">
        <f>'3. Projected Schools Budget'!J95</f>
        <v>298414</v>
      </c>
      <c r="E13" s="264"/>
      <c r="F13" s="258"/>
      <c r="G13" s="265" t="str">
        <f t="shared" si="0"/>
        <v>Supplies &amp; Services</v>
      </c>
      <c r="H13" s="263"/>
      <c r="I13" s="263"/>
      <c r="J13" s="268">
        <f t="shared" si="1"/>
        <v>8.3118486026582963E-2</v>
      </c>
      <c r="K13" s="263"/>
      <c r="L13" s="266"/>
      <c r="M13" s="254"/>
      <c r="N13" s="282"/>
      <c r="O13" s="283"/>
      <c r="P13" s="283"/>
      <c r="Q13" s="28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</row>
    <row r="14" spans="1:105" s="261" customFormat="1" ht="18.75" customHeight="1" x14ac:dyDescent="0.25">
      <c r="A14" s="254"/>
      <c r="B14" s="262" t="str">
        <f>'3. Projected Schools Budget'!A96</f>
        <v>Professional Fees</v>
      </c>
      <c r="C14" s="263"/>
      <c r="D14" s="267">
        <f>'3. Projected Schools Budget'!J96</f>
        <v>140405</v>
      </c>
      <c r="E14" s="264"/>
      <c r="F14" s="258"/>
      <c r="G14" s="265" t="str">
        <f t="shared" si="0"/>
        <v>Professional Fees</v>
      </c>
      <c r="H14" s="263"/>
      <c r="I14" s="263"/>
      <c r="J14" s="268">
        <f t="shared" si="1"/>
        <v>3.9107585537415737E-2</v>
      </c>
      <c r="K14" s="263"/>
      <c r="L14" s="266"/>
      <c r="M14" s="254"/>
      <c r="N14" s="282"/>
      <c r="O14" s="283"/>
      <c r="P14" s="283"/>
      <c r="Q14" s="28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</row>
    <row r="15" spans="1:105" s="261" customFormat="1" ht="18.75" customHeight="1" x14ac:dyDescent="0.25">
      <c r="A15" s="254"/>
      <c r="B15" s="262" t="str">
        <f>'3. Projected Schools Budget'!A97</f>
        <v>Development/Refurb</v>
      </c>
      <c r="C15" s="263"/>
      <c r="D15" s="267">
        <f>'3. Projected Schools Budget'!J97</f>
        <v>0</v>
      </c>
      <c r="E15" s="264"/>
      <c r="F15" s="258"/>
      <c r="G15" s="265" t="str">
        <f t="shared" si="0"/>
        <v>Development/Refurb</v>
      </c>
      <c r="H15" s="263"/>
      <c r="I15" s="263"/>
      <c r="J15" s="268">
        <f t="shared" si="1"/>
        <v>0</v>
      </c>
      <c r="K15" s="263"/>
      <c r="L15" s="266"/>
      <c r="M15" s="254"/>
      <c r="N15" s="282"/>
      <c r="O15" s="283"/>
      <c r="P15" s="283"/>
      <c r="Q15" s="28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</row>
    <row r="16" spans="1:105" s="261" customFormat="1" ht="18.75" customHeight="1" x14ac:dyDescent="0.25">
      <c r="A16" s="254"/>
      <c r="B16" s="262" t="str">
        <f>'3. Projected Schools Budget'!A98</f>
        <v>Contingency</v>
      </c>
      <c r="C16" s="263"/>
      <c r="D16" s="267">
        <f>'3. Projected Schools Budget'!J98</f>
        <v>0</v>
      </c>
      <c r="E16" s="264"/>
      <c r="F16" s="258"/>
      <c r="G16" s="265" t="str">
        <f t="shared" si="0"/>
        <v>Contingency</v>
      </c>
      <c r="H16" s="263"/>
      <c r="I16" s="263"/>
      <c r="J16" s="268">
        <f t="shared" si="1"/>
        <v>0</v>
      </c>
      <c r="K16" s="263"/>
      <c r="L16" s="266"/>
      <c r="M16" s="254"/>
      <c r="N16" s="282"/>
      <c r="O16" s="283"/>
      <c r="P16" s="283"/>
      <c r="Q16" s="28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</row>
    <row r="17" spans="1:105" s="261" customFormat="1" ht="18.75" customHeight="1" x14ac:dyDescent="0.25">
      <c r="A17" s="254"/>
      <c r="B17" s="262"/>
      <c r="C17" s="263"/>
      <c r="D17" s="267"/>
      <c r="E17" s="264"/>
      <c r="F17" s="258"/>
      <c r="G17" s="265" t="s">
        <v>105</v>
      </c>
      <c r="H17" s="263"/>
      <c r="I17" s="263"/>
      <c r="J17" s="268">
        <f>(D20/$D$24)</f>
        <v>-4.0743137991215143E-2</v>
      </c>
      <c r="K17" s="263"/>
      <c r="L17" s="266"/>
      <c r="M17" s="254"/>
      <c r="N17" s="282"/>
      <c r="O17" s="283"/>
      <c r="P17" s="283"/>
      <c r="Q17" s="28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</row>
    <row r="18" spans="1:105" s="261" customFormat="1" ht="18.75" customHeight="1" x14ac:dyDescent="0.25">
      <c r="A18" s="254"/>
      <c r="B18" s="269" t="str">
        <f>'3. Projected Schools Budget'!A100</f>
        <v>TOTAL GROSS EXPENDITURE</v>
      </c>
      <c r="C18" s="270"/>
      <c r="D18" s="271">
        <f>'3. Projected Schools Budget'!J100</f>
        <v>3740723.2000000002</v>
      </c>
      <c r="E18" s="264"/>
      <c r="F18" s="258"/>
      <c r="G18" s="272"/>
      <c r="H18" s="273"/>
      <c r="I18" s="273"/>
      <c r="J18" s="273"/>
      <c r="K18" s="273"/>
      <c r="L18" s="274"/>
      <c r="M18" s="254"/>
      <c r="N18" s="282"/>
      <c r="O18" s="283"/>
      <c r="P18" s="283"/>
      <c r="Q18" s="28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</row>
    <row r="19" spans="1:105" s="261" customFormat="1" ht="18.75" customHeight="1" x14ac:dyDescent="0.25">
      <c r="A19" s="254"/>
      <c r="B19" s="262"/>
      <c r="C19" s="263"/>
      <c r="D19" s="267"/>
      <c r="E19" s="264"/>
      <c r="F19" s="258"/>
      <c r="G19" s="258"/>
      <c r="H19" s="258"/>
      <c r="I19" s="258"/>
      <c r="J19" s="258"/>
      <c r="K19" s="258"/>
      <c r="L19" s="254"/>
      <c r="M19" s="254"/>
      <c r="N19" s="282"/>
      <c r="O19" s="283"/>
      <c r="P19" s="283"/>
      <c r="Q19" s="28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</row>
    <row r="20" spans="1:105" s="261" customFormat="1" ht="18.75" customHeight="1" x14ac:dyDescent="0.25">
      <c r="A20" s="254"/>
      <c r="B20" s="262" t="s">
        <v>105</v>
      </c>
      <c r="C20" s="263"/>
      <c r="D20" s="267">
        <f>'3. Projected Schools Budget'!J102</f>
        <v>-146277</v>
      </c>
      <c r="E20" s="264"/>
      <c r="F20" s="258"/>
      <c r="G20" s="258"/>
      <c r="H20" s="258"/>
      <c r="I20" s="258"/>
      <c r="J20" s="258"/>
      <c r="K20" s="258"/>
      <c r="L20" s="254"/>
      <c r="M20" s="254"/>
      <c r="N20" s="282"/>
      <c r="O20" s="283"/>
      <c r="P20" s="283"/>
      <c r="Q20" s="28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</row>
    <row r="21" spans="1:105" s="261" customFormat="1" ht="18.75" customHeight="1" x14ac:dyDescent="0.25">
      <c r="A21" s="254"/>
      <c r="B21" s="262"/>
      <c r="C21" s="263"/>
      <c r="D21" s="267"/>
      <c r="E21" s="264"/>
      <c r="F21" s="258"/>
      <c r="G21" s="258"/>
      <c r="H21" s="258"/>
      <c r="I21" s="258"/>
      <c r="J21" s="258"/>
      <c r="K21" s="258"/>
      <c r="L21" s="254"/>
      <c r="M21" s="254"/>
      <c r="N21" s="282"/>
      <c r="O21" s="283"/>
      <c r="P21" s="283"/>
      <c r="Q21" s="28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</row>
    <row r="22" spans="1:105" s="261" customFormat="1" ht="18.75" customHeight="1" x14ac:dyDescent="0.25">
      <c r="A22" s="254"/>
      <c r="B22" s="269" t="s">
        <v>209</v>
      </c>
      <c r="C22" s="270"/>
      <c r="D22" s="271">
        <f>D20+D18</f>
        <v>3594446.2</v>
      </c>
      <c r="E22" s="264"/>
      <c r="F22" s="258"/>
      <c r="G22" s="258"/>
      <c r="H22" s="258"/>
      <c r="I22" s="258"/>
      <c r="J22" s="258"/>
      <c r="K22" s="258"/>
      <c r="L22" s="254"/>
      <c r="M22" s="254"/>
      <c r="N22" s="282"/>
      <c r="O22" s="283"/>
      <c r="P22" s="283"/>
      <c r="Q22" s="28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</row>
    <row r="23" spans="1:105" s="261" customFormat="1" ht="18.75" customHeight="1" x14ac:dyDescent="0.25">
      <c r="A23" s="254"/>
      <c r="B23" s="262"/>
      <c r="C23" s="263"/>
      <c r="D23" s="267"/>
      <c r="E23" s="264"/>
      <c r="F23" s="258"/>
      <c r="G23" s="258"/>
      <c r="H23" s="258"/>
      <c r="I23" s="258"/>
      <c r="J23" s="258"/>
      <c r="K23" s="258"/>
      <c r="L23" s="254"/>
      <c r="M23" s="254"/>
      <c r="N23" s="282"/>
      <c r="O23" s="283"/>
      <c r="P23" s="283"/>
      <c r="Q23" s="28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</row>
    <row r="24" spans="1:105" s="261" customFormat="1" ht="18.75" customHeight="1" x14ac:dyDescent="0.25">
      <c r="A24" s="254"/>
      <c r="B24" s="262" t="s">
        <v>212</v>
      </c>
      <c r="C24" s="263"/>
      <c r="D24" s="267">
        <f>'3. Projected Schools Budget'!J113</f>
        <v>3590224.2</v>
      </c>
      <c r="E24" s="264"/>
      <c r="F24" s="258"/>
      <c r="G24" s="258"/>
      <c r="H24" s="258"/>
      <c r="I24" s="258"/>
      <c r="J24" s="258"/>
      <c r="K24" s="258"/>
      <c r="L24" s="254"/>
      <c r="M24" s="254"/>
      <c r="N24" s="282"/>
      <c r="O24" s="283"/>
      <c r="P24" s="283"/>
      <c r="Q24" s="28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</row>
    <row r="25" spans="1:105" s="261" customFormat="1" ht="18.75" customHeight="1" x14ac:dyDescent="0.25">
      <c r="A25" s="254"/>
      <c r="B25" s="262"/>
      <c r="C25" s="263"/>
      <c r="D25" s="267"/>
      <c r="E25" s="264"/>
      <c r="F25" s="258"/>
      <c r="G25" s="258"/>
      <c r="H25" s="258"/>
      <c r="I25" s="258"/>
      <c r="J25" s="258"/>
      <c r="K25" s="258"/>
      <c r="L25" s="254"/>
      <c r="M25" s="254"/>
      <c r="N25" s="282"/>
      <c r="O25" s="283"/>
      <c r="P25" s="283"/>
      <c r="Q25" s="28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</row>
    <row r="26" spans="1:105" s="261" customFormat="1" ht="18.75" customHeight="1" thickBot="1" x14ac:dyDescent="0.3">
      <c r="A26" s="254"/>
      <c r="B26" s="269" t="s">
        <v>210</v>
      </c>
      <c r="C26" s="270"/>
      <c r="D26" s="275">
        <f>D24-D22</f>
        <v>-4222</v>
      </c>
      <c r="E26" s="264"/>
      <c r="F26" s="258"/>
      <c r="G26" s="258"/>
      <c r="H26" s="258"/>
      <c r="I26" s="258"/>
      <c r="J26" s="258"/>
      <c r="K26" s="258"/>
      <c r="L26" s="254"/>
      <c r="M26" s="254"/>
      <c r="N26" s="282"/>
      <c r="O26" s="283"/>
      <c r="P26" s="283"/>
      <c r="Q26" s="28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</row>
    <row r="27" spans="1:105" s="261" customFormat="1" ht="18.75" customHeight="1" x14ac:dyDescent="0.25">
      <c r="A27" s="254"/>
      <c r="B27" s="262"/>
      <c r="C27" s="263"/>
      <c r="D27" s="267"/>
      <c r="E27" s="264"/>
      <c r="F27" s="258"/>
      <c r="G27" s="258"/>
      <c r="H27" s="258"/>
      <c r="I27" s="258"/>
      <c r="J27" s="258"/>
      <c r="K27" s="258"/>
      <c r="L27" s="254"/>
      <c r="M27" s="254"/>
      <c r="N27" s="282"/>
      <c r="O27" s="283"/>
      <c r="P27" s="283"/>
      <c r="Q27" s="28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</row>
    <row r="28" spans="1:105" s="261" customFormat="1" ht="18.75" customHeight="1" x14ac:dyDescent="0.25">
      <c r="A28" s="254"/>
      <c r="B28" s="262" t="s">
        <v>213</v>
      </c>
      <c r="C28" s="263"/>
      <c r="D28" s="267">
        <f>'3. Projected Schools Budget'!J115</f>
        <v>320000</v>
      </c>
      <c r="E28" s="264"/>
      <c r="F28" s="258"/>
      <c r="G28" s="258"/>
      <c r="H28" s="258"/>
      <c r="I28" s="258"/>
      <c r="J28" s="258"/>
      <c r="K28" s="258"/>
      <c r="L28" s="254"/>
      <c r="M28" s="254"/>
      <c r="N28" s="282"/>
      <c r="O28" s="283"/>
      <c r="P28" s="283"/>
      <c r="Q28" s="28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</row>
    <row r="29" spans="1:105" s="261" customFormat="1" ht="18.75" customHeight="1" x14ac:dyDescent="0.25">
      <c r="A29" s="254"/>
      <c r="B29" s="262"/>
      <c r="C29" s="263"/>
      <c r="D29" s="267"/>
      <c r="E29" s="264"/>
      <c r="F29" s="258"/>
      <c r="G29" s="258"/>
      <c r="H29" s="258"/>
      <c r="I29" s="258"/>
      <c r="J29" s="258"/>
      <c r="K29" s="258"/>
      <c r="L29" s="254"/>
      <c r="M29" s="254"/>
      <c r="N29" s="282"/>
      <c r="O29" s="283"/>
      <c r="P29" s="283"/>
      <c r="Q29" s="28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</row>
    <row r="30" spans="1:105" s="261" customFormat="1" ht="18.75" customHeight="1" thickBot="1" x14ac:dyDescent="0.3">
      <c r="A30" s="254"/>
      <c r="B30" s="269" t="s">
        <v>211</v>
      </c>
      <c r="C30" s="270"/>
      <c r="D30" s="276">
        <f>D28+D26</f>
        <v>315778</v>
      </c>
      <c r="E30" s="264"/>
      <c r="F30" s="258"/>
      <c r="G30" s="258"/>
      <c r="H30" s="258"/>
      <c r="I30" s="258"/>
      <c r="J30" s="258"/>
      <c r="K30" s="258"/>
      <c r="L30" s="254"/>
      <c r="M30" s="254"/>
      <c r="N30" s="282"/>
      <c r="O30" s="283"/>
      <c r="P30" s="283"/>
      <c r="Q30" s="28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</row>
    <row r="31" spans="1:105" s="261" customFormat="1" ht="18.75" customHeight="1" thickTop="1" x14ac:dyDescent="0.25">
      <c r="A31" s="254"/>
      <c r="B31" s="262"/>
      <c r="C31" s="263"/>
      <c r="D31" s="263"/>
      <c r="E31" s="264"/>
      <c r="F31" s="258"/>
      <c r="G31" s="258"/>
      <c r="H31" s="258"/>
      <c r="I31" s="258"/>
      <c r="J31" s="258"/>
      <c r="K31" s="258"/>
      <c r="L31" s="254"/>
      <c r="M31" s="254"/>
      <c r="N31" s="282"/>
      <c r="O31" s="283"/>
      <c r="P31" s="283"/>
      <c r="Q31" s="28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</row>
    <row r="32" spans="1:105" s="261" customFormat="1" ht="18.75" customHeight="1" x14ac:dyDescent="0.25">
      <c r="A32" s="254"/>
      <c r="B32" s="277"/>
      <c r="C32" s="273"/>
      <c r="D32" s="273"/>
      <c r="E32" s="278"/>
      <c r="F32" s="258"/>
      <c r="G32" s="258"/>
      <c r="H32" s="258"/>
      <c r="I32" s="258"/>
      <c r="J32" s="258"/>
      <c r="K32" s="258"/>
      <c r="L32" s="254"/>
      <c r="M32" s="254"/>
      <c r="N32" s="282"/>
      <c r="O32" s="283"/>
      <c r="P32" s="283"/>
      <c r="Q32" s="28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</row>
    <row r="33" spans="1:105" ht="5.25" customHeight="1" x14ac:dyDescent="0.25">
      <c r="A33" s="245"/>
      <c r="B33" s="245"/>
      <c r="C33" s="251"/>
      <c r="D33" s="251"/>
      <c r="E33" s="251"/>
      <c r="F33" s="251"/>
      <c r="G33" s="251"/>
      <c r="H33" s="251"/>
      <c r="I33" s="251"/>
      <c r="J33" s="251"/>
      <c r="K33" s="251"/>
      <c r="L33" s="245"/>
      <c r="M33" s="245"/>
      <c r="N33" s="285"/>
      <c r="O33" s="286"/>
      <c r="P33" s="286"/>
      <c r="Q33" s="287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</row>
    <row r="34" spans="1:105" ht="8.25" customHeight="1" x14ac:dyDescent="0.25">
      <c r="A34" s="245"/>
      <c r="B34" s="245"/>
      <c r="C34" s="251"/>
      <c r="D34" s="251"/>
      <c r="E34" s="251"/>
      <c r="F34" s="251"/>
      <c r="G34" s="251"/>
      <c r="H34" s="251"/>
      <c r="I34" s="251"/>
      <c r="J34" s="251"/>
      <c r="K34" s="251"/>
      <c r="L34" s="245"/>
      <c r="M34" s="245"/>
      <c r="N34" s="285"/>
      <c r="O34" s="286"/>
      <c r="P34" s="286"/>
      <c r="Q34" s="287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</row>
    <row r="35" spans="1:105" x14ac:dyDescent="0.25">
      <c r="A35" s="245"/>
      <c r="B35" s="245"/>
      <c r="C35" s="251"/>
      <c r="D35" s="251"/>
      <c r="E35" s="251"/>
      <c r="F35" s="251"/>
      <c r="G35" s="251"/>
      <c r="H35" s="251"/>
      <c r="I35" s="251"/>
      <c r="J35" s="251"/>
      <c r="K35" s="251"/>
      <c r="L35" s="245"/>
      <c r="M35" s="245"/>
      <c r="N35" s="285"/>
      <c r="O35" s="286"/>
      <c r="P35" s="286"/>
      <c r="Q35" s="287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</row>
    <row r="36" spans="1:105" x14ac:dyDescent="0.25">
      <c r="A36" s="245"/>
      <c r="B36" s="245"/>
      <c r="C36" s="251"/>
      <c r="D36" s="251"/>
      <c r="E36" s="251"/>
      <c r="F36" s="251"/>
      <c r="G36" s="251"/>
      <c r="H36" s="251"/>
      <c r="I36" s="251"/>
      <c r="J36" s="251"/>
      <c r="K36" s="251"/>
      <c r="L36" s="245"/>
      <c r="M36" s="245"/>
      <c r="N36" s="288"/>
      <c r="O36" s="289"/>
      <c r="P36" s="289"/>
      <c r="Q36" s="290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</row>
    <row r="37" spans="1:105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</row>
    <row r="38" spans="1:105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</row>
    <row r="39" spans="1:105" x14ac:dyDescent="0.25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</row>
    <row r="40" spans="1:105" x14ac:dyDescent="0.25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</row>
    <row r="41" spans="1:105" x14ac:dyDescent="0.2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</row>
    <row r="42" spans="1:105" x14ac:dyDescent="0.25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</row>
    <row r="43" spans="1:105" x14ac:dyDescent="0.25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</row>
    <row r="44" spans="1:105" x14ac:dyDescent="0.25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</row>
    <row r="45" spans="1:105" x14ac:dyDescent="0.25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</row>
    <row r="46" spans="1:105" x14ac:dyDescent="0.25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</row>
    <row r="47" spans="1:105" x14ac:dyDescent="0.25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</row>
    <row r="48" spans="1:105" x14ac:dyDescent="0.25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</row>
    <row r="49" spans="1:105" x14ac:dyDescent="0.25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</row>
    <row r="50" spans="1:105" x14ac:dyDescent="0.25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</row>
    <row r="51" spans="1:105" x14ac:dyDescent="0.25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</row>
    <row r="52" spans="1:105" x14ac:dyDescent="0.25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</row>
    <row r="53" spans="1:105" x14ac:dyDescent="0.25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</row>
    <row r="54" spans="1:105" x14ac:dyDescent="0.25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</row>
    <row r="55" spans="1:105" x14ac:dyDescent="0.25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</row>
    <row r="56" spans="1:105" x14ac:dyDescent="0.25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</row>
    <row r="57" spans="1:105" x14ac:dyDescent="0.25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</row>
    <row r="58" spans="1:105" x14ac:dyDescent="0.25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</row>
    <row r="59" spans="1:105" x14ac:dyDescent="0.25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45"/>
      <c r="CT59" s="245"/>
      <c r="CU59" s="245"/>
      <c r="CV59" s="245"/>
      <c r="CW59" s="245"/>
      <c r="CX59" s="245"/>
      <c r="CY59" s="245"/>
      <c r="CZ59" s="245"/>
      <c r="DA59" s="245"/>
    </row>
    <row r="60" spans="1:105" x14ac:dyDescent="0.25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45"/>
      <c r="CT60" s="245"/>
      <c r="CU60" s="245"/>
      <c r="CV60" s="245"/>
      <c r="CW60" s="245"/>
      <c r="CX60" s="245"/>
      <c r="CY60" s="245"/>
      <c r="CZ60" s="245"/>
      <c r="DA60" s="245"/>
    </row>
    <row r="61" spans="1:105" x14ac:dyDescent="0.25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  <c r="CJ61" s="245"/>
      <c r="CK61" s="245"/>
      <c r="CL61" s="245"/>
      <c r="CM61" s="245"/>
      <c r="CN61" s="245"/>
      <c r="CO61" s="245"/>
      <c r="CP61" s="245"/>
      <c r="CQ61" s="245"/>
      <c r="CR61" s="245"/>
      <c r="CS61" s="245"/>
      <c r="CT61" s="245"/>
      <c r="CU61" s="245"/>
      <c r="CV61" s="245"/>
      <c r="CW61" s="245"/>
      <c r="CX61" s="245"/>
      <c r="CY61" s="245"/>
      <c r="CZ61" s="245"/>
      <c r="DA61" s="245"/>
    </row>
    <row r="62" spans="1:105" x14ac:dyDescent="0.25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245"/>
      <c r="CE62" s="245"/>
      <c r="CF62" s="245"/>
      <c r="CG62" s="245"/>
      <c r="CH62" s="245"/>
      <c r="CI62" s="245"/>
      <c r="CJ62" s="245"/>
      <c r="CK62" s="245"/>
      <c r="CL62" s="245"/>
      <c r="CM62" s="245"/>
      <c r="CN62" s="245"/>
      <c r="CO62" s="245"/>
      <c r="CP62" s="245"/>
      <c r="CQ62" s="245"/>
      <c r="CR62" s="245"/>
      <c r="CS62" s="245"/>
      <c r="CT62" s="245"/>
      <c r="CU62" s="245"/>
      <c r="CV62" s="245"/>
      <c r="CW62" s="245"/>
      <c r="CX62" s="245"/>
      <c r="CY62" s="245"/>
      <c r="CZ62" s="245"/>
      <c r="DA62" s="245"/>
    </row>
    <row r="63" spans="1:105" x14ac:dyDescent="0.25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  <c r="CJ63" s="245"/>
      <c r="CK63" s="245"/>
      <c r="CL63" s="245"/>
      <c r="CM63" s="245"/>
      <c r="CN63" s="245"/>
      <c r="CO63" s="245"/>
      <c r="CP63" s="245"/>
      <c r="CQ63" s="245"/>
      <c r="CR63" s="245"/>
      <c r="CS63" s="245"/>
      <c r="CT63" s="245"/>
      <c r="CU63" s="245"/>
      <c r="CV63" s="245"/>
      <c r="CW63" s="245"/>
      <c r="CX63" s="245"/>
      <c r="CY63" s="245"/>
      <c r="CZ63" s="245"/>
      <c r="DA63" s="245"/>
    </row>
    <row r="64" spans="1:105" x14ac:dyDescent="0.25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  <c r="CJ64" s="245"/>
      <c r="CK64" s="245"/>
      <c r="CL64" s="245"/>
      <c r="CM64" s="245"/>
      <c r="CN64" s="245"/>
      <c r="CO64" s="245"/>
      <c r="CP64" s="245"/>
      <c r="CQ64" s="245"/>
      <c r="CR64" s="245"/>
      <c r="CS64" s="245"/>
      <c r="CT64" s="245"/>
      <c r="CU64" s="245"/>
      <c r="CV64" s="245"/>
      <c r="CW64" s="245"/>
      <c r="CX64" s="245"/>
      <c r="CY64" s="245"/>
      <c r="CZ64" s="245"/>
      <c r="DA64" s="245"/>
    </row>
    <row r="65" spans="1:105" x14ac:dyDescent="0.25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245"/>
      <c r="DA65" s="245"/>
    </row>
    <row r="66" spans="1:105" x14ac:dyDescent="0.25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245"/>
      <c r="DA66" s="245"/>
    </row>
    <row r="67" spans="1:105" x14ac:dyDescent="0.25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245"/>
      <c r="DA67" s="245"/>
    </row>
    <row r="68" spans="1:105" x14ac:dyDescent="0.25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</row>
    <row r="69" spans="1:105" x14ac:dyDescent="0.25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</row>
    <row r="70" spans="1:105" x14ac:dyDescent="0.25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</row>
    <row r="71" spans="1:105" x14ac:dyDescent="0.25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</row>
    <row r="72" spans="1:105" x14ac:dyDescent="0.25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</row>
    <row r="73" spans="1:105" x14ac:dyDescent="0.25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245"/>
      <c r="DA73" s="245"/>
    </row>
    <row r="74" spans="1:105" x14ac:dyDescent="0.25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245"/>
      <c r="DA74" s="245"/>
    </row>
    <row r="75" spans="1:105" x14ac:dyDescent="0.25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</row>
    <row r="76" spans="1:105" x14ac:dyDescent="0.25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</row>
    <row r="77" spans="1:105" x14ac:dyDescent="0.25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</row>
    <row r="78" spans="1:105" x14ac:dyDescent="0.25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</row>
    <row r="79" spans="1:105" x14ac:dyDescent="0.25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245"/>
      <c r="DA79" s="245"/>
    </row>
    <row r="80" spans="1:105" x14ac:dyDescent="0.25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245"/>
      <c r="DA80" s="245"/>
    </row>
    <row r="81" spans="1:105" x14ac:dyDescent="0.25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</row>
    <row r="82" spans="1:105" x14ac:dyDescent="0.25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5"/>
      <c r="BP82" s="245"/>
      <c r="BQ82" s="245"/>
      <c r="BR82" s="245"/>
      <c r="BS82" s="245"/>
      <c r="BT82" s="245"/>
      <c r="BU82" s="245"/>
      <c r="BV82" s="245"/>
      <c r="BW82" s="245"/>
      <c r="BX82" s="245"/>
      <c r="BY82" s="245"/>
      <c r="BZ82" s="245"/>
      <c r="CA82" s="245"/>
      <c r="CB82" s="245"/>
      <c r="CC82" s="245"/>
      <c r="CD82" s="245"/>
      <c r="CE82" s="245"/>
      <c r="CF82" s="245"/>
      <c r="CG82" s="245"/>
      <c r="CH82" s="245"/>
      <c r="CI82" s="245"/>
      <c r="CJ82" s="245"/>
      <c r="CK82" s="245"/>
      <c r="CL82" s="245"/>
      <c r="CM82" s="245"/>
      <c r="CN82" s="245"/>
      <c r="CO82" s="245"/>
      <c r="CP82" s="245"/>
      <c r="CQ82" s="245"/>
      <c r="CR82" s="245"/>
      <c r="CS82" s="245"/>
      <c r="CT82" s="245"/>
      <c r="CU82" s="245"/>
      <c r="CV82" s="245"/>
      <c r="CW82" s="245"/>
      <c r="CX82" s="245"/>
      <c r="CY82" s="245"/>
      <c r="CZ82" s="245"/>
      <c r="DA82" s="245"/>
    </row>
    <row r="83" spans="1:105" x14ac:dyDescent="0.25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</row>
    <row r="84" spans="1:105" x14ac:dyDescent="0.25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</row>
    <row r="85" spans="1:105" x14ac:dyDescent="0.25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245"/>
      <c r="DA85" s="245"/>
    </row>
    <row r="86" spans="1:105" x14ac:dyDescent="0.25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45"/>
      <c r="CG86" s="245"/>
      <c r="CH86" s="245"/>
      <c r="CI86" s="245"/>
      <c r="CJ86" s="245"/>
      <c r="CK86" s="245"/>
      <c r="CL86" s="245"/>
      <c r="CM86" s="245"/>
      <c r="CN86" s="245"/>
      <c r="CO86" s="245"/>
      <c r="CP86" s="245"/>
      <c r="CQ86" s="245"/>
      <c r="CR86" s="245"/>
      <c r="CS86" s="245"/>
      <c r="CT86" s="245"/>
      <c r="CU86" s="245"/>
      <c r="CV86" s="245"/>
      <c r="CW86" s="245"/>
      <c r="CX86" s="245"/>
      <c r="CY86" s="245"/>
      <c r="CZ86" s="245"/>
      <c r="DA86" s="245"/>
    </row>
    <row r="87" spans="1:105" x14ac:dyDescent="0.25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245"/>
      <c r="CR87" s="245"/>
      <c r="CS87" s="245"/>
      <c r="CT87" s="245"/>
      <c r="CU87" s="245"/>
      <c r="CV87" s="245"/>
      <c r="CW87" s="245"/>
      <c r="CX87" s="245"/>
      <c r="CY87" s="245"/>
      <c r="CZ87" s="245"/>
      <c r="DA87" s="245"/>
    </row>
    <row r="88" spans="1:105" x14ac:dyDescent="0.25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  <c r="BY88" s="245"/>
      <c r="BZ88" s="245"/>
      <c r="CA88" s="245"/>
      <c r="CB88" s="245"/>
      <c r="CC88" s="245"/>
      <c r="CD88" s="245"/>
      <c r="CE88" s="245"/>
      <c r="CF88" s="245"/>
      <c r="CG88" s="245"/>
      <c r="CH88" s="245"/>
      <c r="CI88" s="245"/>
      <c r="CJ88" s="245"/>
      <c r="CK88" s="245"/>
      <c r="CL88" s="245"/>
      <c r="CM88" s="245"/>
      <c r="CN88" s="245"/>
      <c r="CO88" s="245"/>
      <c r="CP88" s="245"/>
      <c r="CQ88" s="245"/>
      <c r="CR88" s="245"/>
      <c r="CS88" s="245"/>
      <c r="CT88" s="245"/>
      <c r="CU88" s="245"/>
      <c r="CV88" s="245"/>
      <c r="CW88" s="245"/>
      <c r="CX88" s="245"/>
      <c r="CY88" s="245"/>
      <c r="CZ88" s="245"/>
      <c r="DA88" s="245"/>
    </row>
    <row r="89" spans="1:105" x14ac:dyDescent="0.25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245"/>
      <c r="DA89" s="245"/>
    </row>
    <row r="90" spans="1:105" x14ac:dyDescent="0.25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/>
      <c r="CB90" s="245"/>
      <c r="CC90" s="245"/>
      <c r="CD90" s="245"/>
      <c r="CE90" s="245"/>
      <c r="CF90" s="245"/>
      <c r="CG90" s="245"/>
      <c r="CH90" s="245"/>
      <c r="CI90" s="245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245"/>
      <c r="DA90" s="245"/>
    </row>
    <row r="91" spans="1:105" x14ac:dyDescent="0.25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5"/>
      <c r="BP91" s="245"/>
      <c r="BQ91" s="245"/>
      <c r="BR91" s="245"/>
      <c r="BS91" s="245"/>
      <c r="BT91" s="245"/>
      <c r="BU91" s="245"/>
      <c r="BV91" s="245"/>
      <c r="BW91" s="245"/>
      <c r="BX91" s="245"/>
      <c r="BY91" s="245"/>
      <c r="BZ91" s="245"/>
      <c r="CA91" s="245"/>
      <c r="CB91" s="245"/>
      <c r="CC91" s="245"/>
      <c r="CD91" s="245"/>
      <c r="CE91" s="245"/>
      <c r="CF91" s="245"/>
      <c r="CG91" s="245"/>
      <c r="CH91" s="245"/>
      <c r="CI91" s="245"/>
      <c r="CJ91" s="245"/>
      <c r="CK91" s="245"/>
      <c r="CL91" s="245"/>
      <c r="CM91" s="245"/>
      <c r="CN91" s="245"/>
      <c r="CO91" s="245"/>
      <c r="CP91" s="245"/>
      <c r="CQ91" s="245"/>
      <c r="CR91" s="245"/>
      <c r="CS91" s="245"/>
      <c r="CT91" s="245"/>
      <c r="CU91" s="245"/>
      <c r="CV91" s="245"/>
      <c r="CW91" s="245"/>
      <c r="CX91" s="245"/>
      <c r="CY91" s="245"/>
      <c r="CZ91" s="245"/>
      <c r="DA91" s="245"/>
    </row>
    <row r="92" spans="1:105" x14ac:dyDescent="0.25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  <c r="BS92" s="245"/>
      <c r="BT92" s="245"/>
      <c r="BU92" s="245"/>
      <c r="BV92" s="245"/>
      <c r="BW92" s="245"/>
      <c r="BX92" s="245"/>
      <c r="BY92" s="245"/>
      <c r="BZ92" s="245"/>
      <c r="CA92" s="245"/>
      <c r="CB92" s="245"/>
      <c r="CC92" s="245"/>
      <c r="CD92" s="245"/>
      <c r="CE92" s="245"/>
      <c r="CF92" s="245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245"/>
    </row>
    <row r="93" spans="1:105" x14ac:dyDescent="0.25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5"/>
      <c r="BT93" s="245"/>
      <c r="BU93" s="245"/>
      <c r="BV93" s="245"/>
      <c r="BW93" s="245"/>
      <c r="BX93" s="245"/>
      <c r="BY93" s="245"/>
      <c r="BZ93" s="245"/>
      <c r="CA93" s="245"/>
      <c r="CB93" s="245"/>
      <c r="CC93" s="245"/>
      <c r="CD93" s="245"/>
      <c r="CE93" s="245"/>
      <c r="CF93" s="245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245"/>
    </row>
    <row r="94" spans="1:105" x14ac:dyDescent="0.25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5"/>
      <c r="CA94" s="245"/>
      <c r="CB94" s="245"/>
      <c r="CC94" s="245"/>
      <c r="CD94" s="245"/>
      <c r="CE94" s="245"/>
      <c r="CF94" s="245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245"/>
    </row>
    <row r="95" spans="1:105" x14ac:dyDescent="0.25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5"/>
      <c r="BW95" s="245"/>
      <c r="BX95" s="245"/>
      <c r="BY95" s="245"/>
      <c r="BZ95" s="245"/>
      <c r="CA95" s="245"/>
      <c r="CB95" s="245"/>
      <c r="CC95" s="245"/>
      <c r="CD95" s="245"/>
      <c r="CE95" s="245"/>
      <c r="CF95" s="245"/>
      <c r="CG95" s="245"/>
      <c r="CH95" s="245"/>
      <c r="CI95" s="245"/>
      <c r="CJ95" s="245"/>
      <c r="CK95" s="245"/>
      <c r="CL95" s="245"/>
      <c r="CM95" s="245"/>
      <c r="CN95" s="245"/>
      <c r="CO95" s="245"/>
      <c r="CP95" s="245"/>
      <c r="CQ95" s="245"/>
      <c r="CR95" s="245"/>
      <c r="CS95" s="245"/>
      <c r="CT95" s="245"/>
      <c r="CU95" s="245"/>
      <c r="CV95" s="245"/>
      <c r="CW95" s="245"/>
      <c r="CX95" s="245"/>
      <c r="CY95" s="245"/>
      <c r="CZ95" s="245"/>
      <c r="DA95" s="245"/>
    </row>
    <row r="96" spans="1:105" x14ac:dyDescent="0.25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  <c r="BS96" s="245"/>
      <c r="BT96" s="245"/>
      <c r="BU96" s="245"/>
      <c r="BV96" s="245"/>
      <c r="BW96" s="245"/>
      <c r="BX96" s="245"/>
      <c r="BY96" s="245"/>
      <c r="BZ96" s="245"/>
      <c r="CA96" s="245"/>
      <c r="CB96" s="245"/>
      <c r="CC96" s="245"/>
      <c r="CD96" s="245"/>
      <c r="CE96" s="245"/>
      <c r="CF96" s="245"/>
      <c r="CG96" s="245"/>
      <c r="CH96" s="245"/>
      <c r="CI96" s="245"/>
      <c r="CJ96" s="245"/>
      <c r="CK96" s="245"/>
      <c r="CL96" s="245"/>
      <c r="CM96" s="245"/>
      <c r="CN96" s="245"/>
      <c r="CO96" s="245"/>
      <c r="CP96" s="245"/>
      <c r="CQ96" s="245"/>
      <c r="CR96" s="245"/>
      <c r="CS96" s="245"/>
      <c r="CT96" s="245"/>
      <c r="CU96" s="245"/>
      <c r="CV96" s="245"/>
      <c r="CW96" s="245"/>
      <c r="CX96" s="245"/>
      <c r="CY96" s="245"/>
      <c r="CZ96" s="245"/>
      <c r="DA96" s="245"/>
    </row>
    <row r="97" spans="1:105" x14ac:dyDescent="0.25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5"/>
      <c r="BY97" s="245"/>
      <c r="BZ97" s="245"/>
      <c r="CA97" s="245"/>
      <c r="CB97" s="245"/>
      <c r="CC97" s="245"/>
      <c r="CD97" s="245"/>
      <c r="CE97" s="245"/>
      <c r="CF97" s="245"/>
      <c r="CG97" s="245"/>
      <c r="CH97" s="245"/>
      <c r="CI97" s="245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245"/>
    </row>
    <row r="98" spans="1:105" x14ac:dyDescent="0.25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/>
      <c r="BU98" s="245"/>
      <c r="BV98" s="245"/>
      <c r="BW98" s="245"/>
      <c r="BX98" s="245"/>
      <c r="BY98" s="245"/>
      <c r="BZ98" s="245"/>
      <c r="CA98" s="245"/>
      <c r="CB98" s="245"/>
      <c r="CC98" s="245"/>
      <c r="CD98" s="245"/>
      <c r="CE98" s="245"/>
      <c r="CF98" s="245"/>
      <c r="CG98" s="245"/>
      <c r="CH98" s="245"/>
      <c r="CI98" s="245"/>
      <c r="CJ98" s="245"/>
      <c r="CK98" s="245"/>
      <c r="CL98" s="245"/>
      <c r="CM98" s="245"/>
      <c r="CN98" s="245"/>
      <c r="CO98" s="245"/>
      <c r="CP98" s="245"/>
      <c r="CQ98" s="245"/>
      <c r="CR98" s="245"/>
      <c r="CS98" s="245"/>
      <c r="CT98" s="245"/>
      <c r="CU98" s="245"/>
      <c r="CV98" s="245"/>
      <c r="CW98" s="245"/>
      <c r="CX98" s="245"/>
      <c r="CY98" s="245"/>
      <c r="CZ98" s="245"/>
      <c r="DA98" s="245"/>
    </row>
    <row r="99" spans="1:105" x14ac:dyDescent="0.25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5"/>
      <c r="BY99" s="245"/>
      <c r="BZ99" s="245"/>
      <c r="CA99" s="245"/>
      <c r="CB99" s="245"/>
      <c r="CC99" s="245"/>
      <c r="CD99" s="245"/>
      <c r="CE99" s="245"/>
      <c r="CF99" s="245"/>
      <c r="CG99" s="245"/>
      <c r="CH99" s="245"/>
      <c r="CI99" s="245"/>
      <c r="CJ99" s="245"/>
      <c r="CK99" s="245"/>
      <c r="CL99" s="245"/>
      <c r="CM99" s="245"/>
      <c r="CN99" s="245"/>
      <c r="CO99" s="245"/>
      <c r="CP99" s="245"/>
      <c r="CQ99" s="245"/>
      <c r="CR99" s="245"/>
      <c r="CS99" s="245"/>
      <c r="CT99" s="245"/>
      <c r="CU99" s="245"/>
      <c r="CV99" s="245"/>
      <c r="CW99" s="245"/>
      <c r="CX99" s="245"/>
      <c r="CY99" s="245"/>
      <c r="CZ99" s="245"/>
      <c r="DA99" s="245"/>
    </row>
    <row r="100" spans="1:105" x14ac:dyDescent="0.25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5"/>
      <c r="BX100" s="245"/>
      <c r="BY100" s="245"/>
      <c r="BZ100" s="245"/>
      <c r="CA100" s="245"/>
      <c r="CB100" s="245"/>
      <c r="CC100" s="245"/>
      <c r="CD100" s="245"/>
      <c r="CE100" s="245"/>
      <c r="CF100" s="245"/>
      <c r="CG100" s="245"/>
      <c r="CH100" s="245"/>
      <c r="CI100" s="245"/>
      <c r="CJ100" s="245"/>
      <c r="CK100" s="245"/>
      <c r="CL100" s="245"/>
      <c r="CM100" s="245"/>
      <c r="CN100" s="245"/>
      <c r="CO100" s="245"/>
      <c r="CP100" s="245"/>
      <c r="CQ100" s="245"/>
      <c r="CR100" s="245"/>
      <c r="CS100" s="245"/>
      <c r="CT100" s="245"/>
      <c r="CU100" s="245"/>
      <c r="CV100" s="245"/>
      <c r="CW100" s="245"/>
      <c r="CX100" s="245"/>
      <c r="CY100" s="245"/>
      <c r="CZ100" s="245"/>
      <c r="DA100" s="245"/>
    </row>
    <row r="101" spans="1:105" x14ac:dyDescent="0.25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5"/>
      <c r="BX101" s="245"/>
      <c r="BY101" s="245"/>
      <c r="BZ101" s="245"/>
      <c r="CA101" s="245"/>
      <c r="CB101" s="245"/>
      <c r="CC101" s="245"/>
      <c r="CD101" s="245"/>
      <c r="CE101" s="245"/>
      <c r="CF101" s="245"/>
      <c r="CG101" s="245"/>
      <c r="CH101" s="245"/>
      <c r="CI101" s="245"/>
      <c r="CJ101" s="245"/>
      <c r="CK101" s="245"/>
      <c r="CL101" s="245"/>
      <c r="CM101" s="245"/>
      <c r="CN101" s="245"/>
      <c r="CO101" s="245"/>
      <c r="CP101" s="245"/>
      <c r="CQ101" s="245"/>
      <c r="CR101" s="245"/>
      <c r="CS101" s="245"/>
      <c r="CT101" s="245"/>
      <c r="CU101" s="245"/>
      <c r="CV101" s="245"/>
      <c r="CW101" s="245"/>
      <c r="CX101" s="245"/>
      <c r="CY101" s="245"/>
      <c r="CZ101" s="245"/>
      <c r="DA101" s="245"/>
    </row>
    <row r="102" spans="1:105" x14ac:dyDescent="0.25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5"/>
      <c r="BX102" s="245"/>
      <c r="BY102" s="245"/>
      <c r="BZ102" s="245"/>
      <c r="CA102" s="245"/>
      <c r="CB102" s="245"/>
      <c r="CC102" s="245"/>
      <c r="CD102" s="245"/>
      <c r="CE102" s="245"/>
      <c r="CF102" s="245"/>
      <c r="CG102" s="245"/>
      <c r="CH102" s="245"/>
      <c r="CI102" s="245"/>
      <c r="CJ102" s="245"/>
      <c r="CK102" s="245"/>
      <c r="CL102" s="245"/>
      <c r="CM102" s="245"/>
      <c r="CN102" s="245"/>
      <c r="CO102" s="245"/>
      <c r="CP102" s="245"/>
      <c r="CQ102" s="245"/>
      <c r="CR102" s="245"/>
      <c r="CS102" s="245"/>
      <c r="CT102" s="245"/>
      <c r="CU102" s="245"/>
      <c r="CV102" s="245"/>
      <c r="CW102" s="245"/>
      <c r="CX102" s="245"/>
      <c r="CY102" s="245"/>
      <c r="CZ102" s="245"/>
      <c r="DA102" s="245"/>
    </row>
    <row r="103" spans="1:105" x14ac:dyDescent="0.25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5"/>
      <c r="BV103" s="245"/>
      <c r="BW103" s="245"/>
      <c r="BX103" s="245"/>
      <c r="BY103" s="245"/>
      <c r="BZ103" s="245"/>
      <c r="CA103" s="245"/>
      <c r="CB103" s="245"/>
      <c r="CC103" s="245"/>
      <c r="CD103" s="245"/>
      <c r="CE103" s="245"/>
      <c r="CF103" s="245"/>
      <c r="CG103" s="245"/>
      <c r="CH103" s="245"/>
      <c r="CI103" s="245"/>
      <c r="CJ103" s="245"/>
      <c r="CK103" s="245"/>
      <c r="CL103" s="245"/>
      <c r="CM103" s="245"/>
      <c r="CN103" s="245"/>
      <c r="CO103" s="245"/>
      <c r="CP103" s="245"/>
      <c r="CQ103" s="245"/>
      <c r="CR103" s="245"/>
      <c r="CS103" s="245"/>
      <c r="CT103" s="245"/>
      <c r="CU103" s="245"/>
      <c r="CV103" s="245"/>
      <c r="CW103" s="245"/>
      <c r="CX103" s="245"/>
      <c r="CY103" s="245"/>
      <c r="CZ103" s="245"/>
      <c r="DA103" s="245"/>
    </row>
    <row r="104" spans="1:105" x14ac:dyDescent="0.25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45"/>
      <c r="BR104" s="245"/>
      <c r="BS104" s="245"/>
      <c r="BT104" s="245"/>
      <c r="BU104" s="245"/>
      <c r="BV104" s="245"/>
      <c r="BW104" s="245"/>
      <c r="BX104" s="245"/>
      <c r="BY104" s="245"/>
      <c r="BZ104" s="245"/>
      <c r="CA104" s="245"/>
      <c r="CB104" s="245"/>
      <c r="CC104" s="245"/>
      <c r="CD104" s="245"/>
      <c r="CE104" s="245"/>
      <c r="CF104" s="245"/>
      <c r="CG104" s="245"/>
      <c r="CH104" s="245"/>
      <c r="CI104" s="245"/>
      <c r="CJ104" s="245"/>
      <c r="CK104" s="245"/>
      <c r="CL104" s="245"/>
      <c r="CM104" s="245"/>
      <c r="CN104" s="245"/>
      <c r="CO104" s="245"/>
      <c r="CP104" s="245"/>
      <c r="CQ104" s="245"/>
      <c r="CR104" s="245"/>
      <c r="CS104" s="245"/>
      <c r="CT104" s="245"/>
      <c r="CU104" s="245"/>
      <c r="CV104" s="245"/>
      <c r="CW104" s="245"/>
      <c r="CX104" s="245"/>
      <c r="CY104" s="245"/>
      <c r="CZ104" s="245"/>
      <c r="DA104" s="245"/>
    </row>
    <row r="105" spans="1:105" x14ac:dyDescent="0.25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  <c r="AY105" s="245"/>
      <c r="AZ105" s="245"/>
      <c r="BA105" s="245"/>
      <c r="BB105" s="245"/>
      <c r="BC105" s="245"/>
      <c r="BD105" s="245"/>
      <c r="BE105" s="245"/>
      <c r="BF105" s="245"/>
      <c r="BG105" s="245"/>
      <c r="BH105" s="245"/>
      <c r="BI105" s="245"/>
      <c r="BJ105" s="245"/>
      <c r="BK105" s="245"/>
      <c r="BL105" s="245"/>
      <c r="BM105" s="245"/>
      <c r="BN105" s="245"/>
      <c r="BO105" s="245"/>
      <c r="BP105" s="245"/>
      <c r="BQ105" s="245"/>
      <c r="BR105" s="245"/>
      <c r="BS105" s="245"/>
      <c r="BT105" s="245"/>
      <c r="BU105" s="245"/>
      <c r="BV105" s="245"/>
      <c r="BW105" s="245"/>
      <c r="BX105" s="245"/>
      <c r="BY105" s="245"/>
      <c r="BZ105" s="245"/>
      <c r="CA105" s="245"/>
      <c r="CB105" s="245"/>
      <c r="CC105" s="245"/>
      <c r="CD105" s="245"/>
      <c r="CE105" s="245"/>
      <c r="CF105" s="245"/>
      <c r="CG105" s="245"/>
      <c r="CH105" s="245"/>
      <c r="CI105" s="245"/>
      <c r="CJ105" s="245"/>
      <c r="CK105" s="245"/>
      <c r="CL105" s="245"/>
      <c r="CM105" s="245"/>
      <c r="CN105" s="245"/>
      <c r="CO105" s="245"/>
      <c r="CP105" s="245"/>
      <c r="CQ105" s="245"/>
      <c r="CR105" s="245"/>
      <c r="CS105" s="245"/>
      <c r="CT105" s="245"/>
      <c r="CU105" s="245"/>
      <c r="CV105" s="245"/>
      <c r="CW105" s="245"/>
      <c r="CX105" s="245"/>
      <c r="CY105" s="245"/>
      <c r="CZ105" s="245"/>
      <c r="DA105" s="245"/>
    </row>
    <row r="106" spans="1:105" x14ac:dyDescent="0.25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5"/>
      <c r="BI106" s="245"/>
      <c r="BJ106" s="245"/>
      <c r="BK106" s="245"/>
      <c r="BL106" s="245"/>
      <c r="BM106" s="245"/>
      <c r="BN106" s="245"/>
      <c r="BO106" s="245"/>
      <c r="BP106" s="245"/>
      <c r="BQ106" s="245"/>
      <c r="BR106" s="245"/>
      <c r="BS106" s="245"/>
      <c r="BT106" s="245"/>
      <c r="BU106" s="245"/>
      <c r="BV106" s="245"/>
      <c r="BW106" s="245"/>
      <c r="BX106" s="245"/>
      <c r="BY106" s="245"/>
      <c r="BZ106" s="245"/>
      <c r="CA106" s="245"/>
      <c r="CB106" s="245"/>
      <c r="CC106" s="245"/>
      <c r="CD106" s="245"/>
      <c r="CE106" s="245"/>
      <c r="CF106" s="245"/>
      <c r="CG106" s="245"/>
      <c r="CH106" s="245"/>
      <c r="CI106" s="245"/>
      <c r="CJ106" s="245"/>
      <c r="CK106" s="245"/>
      <c r="CL106" s="245"/>
      <c r="CM106" s="245"/>
      <c r="CN106" s="245"/>
      <c r="CO106" s="245"/>
      <c r="CP106" s="245"/>
      <c r="CQ106" s="245"/>
      <c r="CR106" s="245"/>
      <c r="CS106" s="245"/>
      <c r="CT106" s="245"/>
      <c r="CU106" s="245"/>
      <c r="CV106" s="245"/>
      <c r="CW106" s="245"/>
      <c r="CX106" s="245"/>
      <c r="CY106" s="245"/>
      <c r="CZ106" s="245"/>
      <c r="DA106" s="245"/>
    </row>
    <row r="107" spans="1:105" x14ac:dyDescent="0.25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  <c r="BH107" s="245"/>
      <c r="BI107" s="245"/>
      <c r="BJ107" s="245"/>
      <c r="BK107" s="245"/>
      <c r="BL107" s="245"/>
      <c r="BM107" s="245"/>
      <c r="BN107" s="245"/>
      <c r="BO107" s="245"/>
      <c r="BP107" s="245"/>
      <c r="BQ107" s="245"/>
      <c r="BR107" s="245"/>
      <c r="BS107" s="245"/>
      <c r="BT107" s="245"/>
      <c r="BU107" s="245"/>
      <c r="BV107" s="245"/>
      <c r="BW107" s="245"/>
      <c r="BX107" s="245"/>
      <c r="BY107" s="245"/>
      <c r="BZ107" s="245"/>
      <c r="CA107" s="245"/>
      <c r="CB107" s="245"/>
      <c r="CC107" s="245"/>
      <c r="CD107" s="245"/>
      <c r="CE107" s="245"/>
      <c r="CF107" s="245"/>
      <c r="CG107" s="245"/>
      <c r="CH107" s="245"/>
      <c r="CI107" s="245"/>
      <c r="CJ107" s="245"/>
      <c r="CK107" s="245"/>
      <c r="CL107" s="245"/>
      <c r="CM107" s="245"/>
      <c r="CN107" s="245"/>
      <c r="CO107" s="245"/>
      <c r="CP107" s="245"/>
      <c r="CQ107" s="245"/>
      <c r="CR107" s="245"/>
      <c r="CS107" s="245"/>
      <c r="CT107" s="245"/>
      <c r="CU107" s="245"/>
      <c r="CV107" s="245"/>
      <c r="CW107" s="245"/>
      <c r="CX107" s="245"/>
      <c r="CY107" s="245"/>
      <c r="CZ107" s="245"/>
      <c r="DA107" s="245"/>
    </row>
    <row r="108" spans="1:105" x14ac:dyDescent="0.25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  <c r="CH108" s="245"/>
      <c r="CI108" s="245"/>
      <c r="CJ108" s="245"/>
      <c r="CK108" s="245"/>
      <c r="CL108" s="245"/>
      <c r="CM108" s="245"/>
      <c r="CN108" s="245"/>
      <c r="CO108" s="245"/>
      <c r="CP108" s="245"/>
      <c r="CQ108" s="245"/>
      <c r="CR108" s="245"/>
      <c r="CS108" s="245"/>
      <c r="CT108" s="245"/>
      <c r="CU108" s="245"/>
      <c r="CV108" s="245"/>
      <c r="CW108" s="245"/>
      <c r="CX108" s="245"/>
      <c r="CY108" s="245"/>
      <c r="CZ108" s="245"/>
      <c r="DA108" s="245"/>
    </row>
    <row r="109" spans="1:105" x14ac:dyDescent="0.25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</row>
    <row r="110" spans="1:105" x14ac:dyDescent="0.25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  <c r="CH110" s="245"/>
      <c r="CI110" s="245"/>
      <c r="CJ110" s="245"/>
      <c r="CK110" s="245"/>
      <c r="CL110" s="245"/>
      <c r="CM110" s="245"/>
      <c r="CN110" s="245"/>
      <c r="CO110" s="245"/>
      <c r="CP110" s="245"/>
      <c r="CQ110" s="245"/>
      <c r="CR110" s="245"/>
      <c r="CS110" s="245"/>
      <c r="CT110" s="245"/>
      <c r="CU110" s="245"/>
      <c r="CV110" s="245"/>
      <c r="CW110" s="245"/>
      <c r="CX110" s="245"/>
      <c r="CY110" s="245"/>
      <c r="CZ110" s="245"/>
      <c r="DA110" s="245"/>
    </row>
    <row r="111" spans="1:105" x14ac:dyDescent="0.25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</row>
    <row r="112" spans="1:105" x14ac:dyDescent="0.2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</row>
    <row r="113" spans="1:105" x14ac:dyDescent="0.25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</row>
    <row r="114" spans="1:105" x14ac:dyDescent="0.25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</row>
    <row r="115" spans="1:105" x14ac:dyDescent="0.25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</row>
    <row r="116" spans="1:105" x14ac:dyDescent="0.25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5"/>
      <c r="CC116" s="245"/>
      <c r="CD116" s="245"/>
      <c r="CE116" s="245"/>
      <c r="CF116" s="245"/>
      <c r="CG116" s="245"/>
      <c r="CH116" s="245"/>
      <c r="CI116" s="245"/>
      <c r="CJ116" s="245"/>
      <c r="CK116" s="245"/>
      <c r="CL116" s="245"/>
      <c r="CM116" s="245"/>
      <c r="CN116" s="245"/>
      <c r="CO116" s="245"/>
      <c r="CP116" s="245"/>
      <c r="CQ116" s="245"/>
      <c r="CR116" s="245"/>
      <c r="CS116" s="245"/>
      <c r="CT116" s="245"/>
      <c r="CU116" s="245"/>
      <c r="CV116" s="245"/>
      <c r="CW116" s="245"/>
      <c r="CX116" s="245"/>
      <c r="CY116" s="245"/>
      <c r="CZ116" s="245"/>
      <c r="DA116" s="245"/>
    </row>
    <row r="117" spans="1:105" x14ac:dyDescent="0.25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245"/>
      <c r="BW117" s="245"/>
      <c r="BX117" s="245"/>
      <c r="BY117" s="245"/>
      <c r="BZ117" s="245"/>
      <c r="CA117" s="245"/>
      <c r="CB117" s="245"/>
      <c r="CC117" s="245"/>
      <c r="CD117" s="245"/>
      <c r="CE117" s="245"/>
      <c r="CF117" s="245"/>
      <c r="CG117" s="245"/>
      <c r="CH117" s="245"/>
      <c r="CI117" s="245"/>
      <c r="CJ117" s="245"/>
      <c r="CK117" s="245"/>
      <c r="CL117" s="245"/>
      <c r="CM117" s="245"/>
      <c r="CN117" s="245"/>
      <c r="CO117" s="245"/>
      <c r="CP117" s="245"/>
      <c r="CQ117" s="245"/>
      <c r="CR117" s="245"/>
      <c r="CS117" s="245"/>
      <c r="CT117" s="245"/>
      <c r="CU117" s="245"/>
      <c r="CV117" s="245"/>
      <c r="CW117" s="245"/>
      <c r="CX117" s="245"/>
      <c r="CY117" s="245"/>
      <c r="CZ117" s="245"/>
      <c r="DA117" s="245"/>
    </row>
    <row r="118" spans="1:105" x14ac:dyDescent="0.25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245"/>
      <c r="BS118" s="245"/>
      <c r="BT118" s="245"/>
      <c r="BU118" s="245"/>
      <c r="BV118" s="245"/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/>
      <c r="CJ118" s="245"/>
      <c r="CK118" s="245"/>
      <c r="CL118" s="245"/>
      <c r="CM118" s="245"/>
      <c r="CN118" s="245"/>
      <c r="CO118" s="245"/>
      <c r="CP118" s="245"/>
      <c r="CQ118" s="245"/>
      <c r="CR118" s="245"/>
      <c r="CS118" s="245"/>
      <c r="CT118" s="245"/>
      <c r="CU118" s="245"/>
      <c r="CV118" s="245"/>
      <c r="CW118" s="245"/>
      <c r="CX118" s="245"/>
      <c r="CY118" s="245"/>
      <c r="CZ118" s="245"/>
      <c r="DA118" s="245"/>
    </row>
    <row r="119" spans="1:105" x14ac:dyDescent="0.25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45"/>
      <c r="CC119" s="245"/>
      <c r="CD119" s="245"/>
      <c r="CE119" s="245"/>
      <c r="CF119" s="245"/>
      <c r="CG119" s="245"/>
      <c r="CH119" s="245"/>
      <c r="CI119" s="245"/>
      <c r="CJ119" s="245"/>
      <c r="CK119" s="245"/>
      <c r="CL119" s="245"/>
      <c r="CM119" s="245"/>
      <c r="CN119" s="245"/>
      <c r="CO119" s="245"/>
      <c r="CP119" s="245"/>
      <c r="CQ119" s="245"/>
      <c r="CR119" s="245"/>
      <c r="CS119" s="245"/>
      <c r="CT119" s="245"/>
      <c r="CU119" s="245"/>
      <c r="CV119" s="245"/>
      <c r="CW119" s="245"/>
      <c r="CX119" s="245"/>
      <c r="CY119" s="245"/>
      <c r="CZ119" s="245"/>
      <c r="DA119" s="245"/>
    </row>
    <row r="120" spans="1:105" x14ac:dyDescent="0.25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</row>
    <row r="121" spans="1:105" x14ac:dyDescent="0.25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5"/>
      <c r="BU121" s="245"/>
      <c r="BV121" s="245"/>
      <c r="BW121" s="245"/>
      <c r="BX121" s="245"/>
      <c r="BY121" s="245"/>
      <c r="BZ121" s="245"/>
      <c r="CA121" s="245"/>
      <c r="CB121" s="245"/>
      <c r="CC121" s="245"/>
      <c r="CD121" s="245"/>
      <c r="CE121" s="245"/>
      <c r="CF121" s="245"/>
      <c r="CG121" s="245"/>
      <c r="CH121" s="245"/>
      <c r="CI121" s="245"/>
      <c r="CJ121" s="245"/>
      <c r="CK121" s="245"/>
      <c r="CL121" s="245"/>
      <c r="CM121" s="245"/>
      <c r="CN121" s="245"/>
      <c r="CO121" s="245"/>
      <c r="CP121" s="245"/>
      <c r="CQ121" s="245"/>
      <c r="CR121" s="245"/>
      <c r="CS121" s="245"/>
      <c r="CT121" s="245"/>
      <c r="CU121" s="245"/>
      <c r="CV121" s="245"/>
      <c r="CW121" s="245"/>
      <c r="CX121" s="245"/>
      <c r="CY121" s="245"/>
      <c r="CZ121" s="245"/>
      <c r="DA121" s="245"/>
    </row>
    <row r="122" spans="1:105" x14ac:dyDescent="0.25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</row>
    <row r="123" spans="1:105" x14ac:dyDescent="0.25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</row>
    <row r="124" spans="1:105" x14ac:dyDescent="0.25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</row>
    <row r="125" spans="1:105" x14ac:dyDescent="0.25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</row>
    <row r="126" spans="1:105" x14ac:dyDescent="0.25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</row>
    <row r="127" spans="1:105" x14ac:dyDescent="0.25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</row>
    <row r="128" spans="1:105" x14ac:dyDescent="0.25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</row>
    <row r="129" spans="1:105" x14ac:dyDescent="0.25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</row>
    <row r="130" spans="1:105" x14ac:dyDescent="0.25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</row>
    <row r="131" spans="1:105" x14ac:dyDescent="0.25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</row>
    <row r="132" spans="1:105" x14ac:dyDescent="0.25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</row>
    <row r="133" spans="1:105" x14ac:dyDescent="0.25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</row>
    <row r="134" spans="1:105" x14ac:dyDescent="0.25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</row>
    <row r="135" spans="1:105" x14ac:dyDescent="0.25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</row>
    <row r="136" spans="1:105" x14ac:dyDescent="0.25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</row>
    <row r="137" spans="1:105" x14ac:dyDescent="0.25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</row>
    <row r="138" spans="1:105" x14ac:dyDescent="0.25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</row>
    <row r="139" spans="1:105" x14ac:dyDescent="0.25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</row>
    <row r="140" spans="1:105" x14ac:dyDescent="0.25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</row>
    <row r="141" spans="1:105" x14ac:dyDescent="0.25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</row>
    <row r="142" spans="1:105" x14ac:dyDescent="0.25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</row>
    <row r="143" spans="1:105" x14ac:dyDescent="0.25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</row>
    <row r="144" spans="1:105" x14ac:dyDescent="0.25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</row>
    <row r="145" spans="1:105" x14ac:dyDescent="0.25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</row>
    <row r="146" spans="1:105" x14ac:dyDescent="0.25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</row>
    <row r="147" spans="1:105" x14ac:dyDescent="0.25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</row>
    <row r="148" spans="1:105" x14ac:dyDescent="0.25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</row>
    <row r="149" spans="1:105" x14ac:dyDescent="0.25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</row>
    <row r="150" spans="1:105" x14ac:dyDescent="0.25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</row>
    <row r="151" spans="1:105" x14ac:dyDescent="0.25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</row>
    <row r="152" spans="1:105" x14ac:dyDescent="0.25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</row>
    <row r="153" spans="1:105" x14ac:dyDescent="0.25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</row>
    <row r="154" spans="1:105" x14ac:dyDescent="0.25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</row>
    <row r="155" spans="1:105" x14ac:dyDescent="0.25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</row>
    <row r="156" spans="1:105" x14ac:dyDescent="0.25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</row>
    <row r="157" spans="1:105" x14ac:dyDescent="0.25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</row>
    <row r="158" spans="1:105" x14ac:dyDescent="0.25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</row>
    <row r="159" spans="1:105" x14ac:dyDescent="0.25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</row>
    <row r="160" spans="1:105" x14ac:dyDescent="0.25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</row>
    <row r="161" spans="1:105" x14ac:dyDescent="0.25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</row>
    <row r="162" spans="1:105" x14ac:dyDescent="0.25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</row>
    <row r="163" spans="1:105" x14ac:dyDescent="0.25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</row>
    <row r="164" spans="1:105" x14ac:dyDescent="0.25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</row>
    <row r="165" spans="1:105" x14ac:dyDescent="0.25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</row>
    <row r="166" spans="1:105" x14ac:dyDescent="0.25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</row>
    <row r="167" spans="1:105" x14ac:dyDescent="0.25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</row>
    <row r="168" spans="1:105" x14ac:dyDescent="0.25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</row>
    <row r="169" spans="1:105" x14ac:dyDescent="0.25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</row>
    <row r="170" spans="1:105" x14ac:dyDescent="0.25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</row>
    <row r="171" spans="1:105" x14ac:dyDescent="0.25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</row>
    <row r="172" spans="1:105" x14ac:dyDescent="0.25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</row>
    <row r="173" spans="1:105" x14ac:dyDescent="0.25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</row>
    <row r="174" spans="1:105" x14ac:dyDescent="0.25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</row>
    <row r="175" spans="1:105" x14ac:dyDescent="0.25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</row>
    <row r="176" spans="1:105" x14ac:dyDescent="0.25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</row>
    <row r="177" spans="1:105" x14ac:dyDescent="0.25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</row>
    <row r="178" spans="1:105" x14ac:dyDescent="0.25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</row>
    <row r="179" spans="1:105" x14ac:dyDescent="0.25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</row>
    <row r="180" spans="1:105" x14ac:dyDescent="0.25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</row>
    <row r="181" spans="1:105" x14ac:dyDescent="0.25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</row>
    <row r="182" spans="1:105" x14ac:dyDescent="0.25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</row>
    <row r="183" spans="1:105" x14ac:dyDescent="0.25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</row>
    <row r="184" spans="1:105" x14ac:dyDescent="0.25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</row>
    <row r="185" spans="1:105" x14ac:dyDescent="0.25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</row>
    <row r="186" spans="1:105" x14ac:dyDescent="0.25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</row>
    <row r="187" spans="1:105" x14ac:dyDescent="0.25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</row>
    <row r="188" spans="1:105" x14ac:dyDescent="0.25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</row>
    <row r="189" spans="1:105" x14ac:dyDescent="0.25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</row>
    <row r="190" spans="1:105" x14ac:dyDescent="0.25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</row>
    <row r="191" spans="1:105" x14ac:dyDescent="0.25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</row>
    <row r="192" spans="1:105" x14ac:dyDescent="0.25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</row>
    <row r="193" spans="1:105" x14ac:dyDescent="0.25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</row>
    <row r="194" spans="1:105" x14ac:dyDescent="0.25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</row>
    <row r="195" spans="1:105" x14ac:dyDescent="0.25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</row>
    <row r="196" spans="1:105" x14ac:dyDescent="0.25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</row>
    <row r="197" spans="1:105" x14ac:dyDescent="0.25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</row>
    <row r="198" spans="1:105" x14ac:dyDescent="0.25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</row>
    <row r="199" spans="1:105" x14ac:dyDescent="0.25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</row>
    <row r="200" spans="1:105" x14ac:dyDescent="0.25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</row>
    <row r="201" spans="1:105" x14ac:dyDescent="0.25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</row>
    <row r="202" spans="1:105" x14ac:dyDescent="0.25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</row>
    <row r="203" spans="1:105" x14ac:dyDescent="0.25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</row>
    <row r="204" spans="1:105" x14ac:dyDescent="0.25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</row>
    <row r="205" spans="1:105" x14ac:dyDescent="0.25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</row>
    <row r="206" spans="1:105" x14ac:dyDescent="0.25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J206" s="245"/>
      <c r="BK206" s="245"/>
      <c r="BL206" s="245"/>
      <c r="BM206" s="245"/>
      <c r="BN206" s="245"/>
      <c r="BO206" s="245"/>
      <c r="BP206" s="245"/>
      <c r="BQ206" s="245"/>
      <c r="BR206" s="245"/>
      <c r="BS206" s="245"/>
      <c r="BT206" s="245"/>
      <c r="BU206" s="245"/>
      <c r="BV206" s="245"/>
      <c r="BW206" s="245"/>
      <c r="BX206" s="245"/>
      <c r="BY206" s="245"/>
      <c r="BZ206" s="245"/>
      <c r="CA206" s="245"/>
      <c r="CB206" s="245"/>
      <c r="CC206" s="245"/>
      <c r="CD206" s="245"/>
      <c r="CE206" s="245"/>
      <c r="CF206" s="245"/>
      <c r="CG206" s="245"/>
      <c r="CH206" s="245"/>
      <c r="CI206" s="245"/>
      <c r="CJ206" s="245"/>
      <c r="CK206" s="245"/>
      <c r="CL206" s="245"/>
      <c r="CM206" s="245"/>
      <c r="CN206" s="245"/>
      <c r="CO206" s="245"/>
      <c r="CP206" s="245"/>
      <c r="CQ206" s="245"/>
      <c r="CR206" s="245"/>
      <c r="CS206" s="245"/>
      <c r="CT206" s="245"/>
      <c r="CU206" s="245"/>
      <c r="CV206" s="245"/>
      <c r="CW206" s="245"/>
      <c r="CX206" s="245"/>
      <c r="CY206" s="245"/>
      <c r="CZ206" s="245"/>
      <c r="DA206" s="245"/>
    </row>
    <row r="207" spans="1:105" x14ac:dyDescent="0.25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  <c r="BI207" s="245"/>
      <c r="BJ207" s="245"/>
      <c r="BK207" s="245"/>
      <c r="BL207" s="245"/>
      <c r="BM207" s="245"/>
      <c r="BN207" s="245"/>
      <c r="BO207" s="245"/>
      <c r="BP207" s="245"/>
      <c r="BQ207" s="245"/>
      <c r="BR207" s="245"/>
      <c r="BS207" s="245"/>
      <c r="BT207" s="245"/>
      <c r="BU207" s="245"/>
      <c r="BV207" s="245"/>
      <c r="BW207" s="245"/>
      <c r="BX207" s="245"/>
      <c r="BY207" s="245"/>
      <c r="BZ207" s="245"/>
      <c r="CA207" s="245"/>
      <c r="CB207" s="245"/>
      <c r="CC207" s="245"/>
      <c r="CD207" s="245"/>
      <c r="CE207" s="245"/>
      <c r="CF207" s="245"/>
      <c r="CG207" s="245"/>
      <c r="CH207" s="245"/>
      <c r="CI207" s="245"/>
      <c r="CJ207" s="245"/>
      <c r="CK207" s="245"/>
      <c r="CL207" s="245"/>
      <c r="CM207" s="245"/>
      <c r="CN207" s="245"/>
      <c r="CO207" s="245"/>
      <c r="CP207" s="245"/>
      <c r="CQ207" s="245"/>
      <c r="CR207" s="245"/>
      <c r="CS207" s="245"/>
      <c r="CT207" s="245"/>
      <c r="CU207" s="245"/>
      <c r="CV207" s="245"/>
      <c r="CW207" s="245"/>
      <c r="CX207" s="245"/>
      <c r="CY207" s="245"/>
      <c r="CZ207" s="245"/>
      <c r="DA207" s="245"/>
    </row>
    <row r="208" spans="1:105" x14ac:dyDescent="0.25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  <c r="BI208" s="245"/>
      <c r="BJ208" s="245"/>
      <c r="BK208" s="245"/>
      <c r="BL208" s="245"/>
      <c r="BM208" s="245"/>
      <c r="BN208" s="245"/>
      <c r="BO208" s="245"/>
      <c r="BP208" s="245"/>
      <c r="BQ208" s="245"/>
      <c r="BR208" s="245"/>
      <c r="BS208" s="245"/>
      <c r="BT208" s="245"/>
      <c r="BU208" s="245"/>
      <c r="BV208" s="245"/>
      <c r="BW208" s="245"/>
      <c r="BX208" s="245"/>
      <c r="BY208" s="245"/>
      <c r="BZ208" s="245"/>
      <c r="CA208" s="245"/>
      <c r="CB208" s="245"/>
      <c r="CC208" s="245"/>
      <c r="CD208" s="245"/>
      <c r="CE208" s="245"/>
      <c r="CF208" s="245"/>
      <c r="CG208" s="245"/>
      <c r="CH208" s="245"/>
      <c r="CI208" s="245"/>
      <c r="CJ208" s="245"/>
      <c r="CK208" s="245"/>
      <c r="CL208" s="245"/>
      <c r="CM208" s="245"/>
      <c r="CN208" s="245"/>
      <c r="CO208" s="245"/>
      <c r="CP208" s="245"/>
      <c r="CQ208" s="245"/>
      <c r="CR208" s="245"/>
      <c r="CS208" s="245"/>
      <c r="CT208" s="245"/>
      <c r="CU208" s="245"/>
      <c r="CV208" s="245"/>
      <c r="CW208" s="245"/>
      <c r="CX208" s="245"/>
      <c r="CY208" s="245"/>
      <c r="CZ208" s="245"/>
      <c r="DA208" s="245"/>
    </row>
    <row r="209" spans="1:105" x14ac:dyDescent="0.25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  <c r="BI209" s="245"/>
      <c r="BJ209" s="245"/>
      <c r="BK209" s="245"/>
      <c r="BL209" s="245"/>
      <c r="BM209" s="245"/>
      <c r="BN209" s="245"/>
      <c r="BO209" s="245"/>
      <c r="BP209" s="245"/>
      <c r="BQ209" s="245"/>
      <c r="BR209" s="245"/>
      <c r="BS209" s="245"/>
      <c r="BT209" s="245"/>
      <c r="BU209" s="245"/>
      <c r="BV209" s="245"/>
      <c r="BW209" s="245"/>
      <c r="BX209" s="245"/>
      <c r="BY209" s="245"/>
      <c r="BZ209" s="245"/>
      <c r="CA209" s="245"/>
      <c r="CB209" s="245"/>
      <c r="CC209" s="245"/>
      <c r="CD209" s="245"/>
      <c r="CE209" s="245"/>
      <c r="CF209" s="245"/>
      <c r="CG209" s="245"/>
      <c r="CH209" s="245"/>
      <c r="CI209" s="245"/>
      <c r="CJ209" s="245"/>
      <c r="CK209" s="245"/>
      <c r="CL209" s="245"/>
      <c r="CM209" s="245"/>
      <c r="CN209" s="245"/>
      <c r="CO209" s="245"/>
      <c r="CP209" s="245"/>
      <c r="CQ209" s="245"/>
      <c r="CR209" s="245"/>
      <c r="CS209" s="245"/>
      <c r="CT209" s="245"/>
      <c r="CU209" s="245"/>
      <c r="CV209" s="245"/>
      <c r="CW209" s="245"/>
      <c r="CX209" s="245"/>
      <c r="CY209" s="245"/>
      <c r="CZ209" s="245"/>
      <c r="DA209" s="245"/>
    </row>
    <row r="210" spans="1:105" x14ac:dyDescent="0.25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  <c r="BI210" s="245"/>
      <c r="BJ210" s="245"/>
      <c r="BK210" s="245"/>
      <c r="BL210" s="245"/>
      <c r="BM210" s="245"/>
      <c r="BN210" s="245"/>
      <c r="BO210" s="245"/>
      <c r="BP210" s="245"/>
      <c r="BQ210" s="245"/>
      <c r="BR210" s="245"/>
      <c r="BS210" s="245"/>
      <c r="BT210" s="245"/>
      <c r="BU210" s="245"/>
      <c r="BV210" s="245"/>
      <c r="BW210" s="245"/>
      <c r="BX210" s="245"/>
      <c r="BY210" s="245"/>
      <c r="BZ210" s="245"/>
      <c r="CA210" s="245"/>
      <c r="CB210" s="245"/>
      <c r="CC210" s="245"/>
      <c r="CD210" s="245"/>
      <c r="CE210" s="245"/>
      <c r="CF210" s="245"/>
      <c r="CG210" s="245"/>
      <c r="CH210" s="245"/>
      <c r="CI210" s="245"/>
      <c r="CJ210" s="245"/>
      <c r="CK210" s="245"/>
      <c r="CL210" s="245"/>
      <c r="CM210" s="245"/>
      <c r="CN210" s="245"/>
      <c r="CO210" s="245"/>
      <c r="CP210" s="245"/>
      <c r="CQ210" s="245"/>
      <c r="CR210" s="245"/>
      <c r="CS210" s="245"/>
      <c r="CT210" s="245"/>
      <c r="CU210" s="245"/>
      <c r="CV210" s="245"/>
      <c r="CW210" s="245"/>
      <c r="CX210" s="245"/>
      <c r="CY210" s="245"/>
      <c r="CZ210" s="245"/>
      <c r="DA210" s="245"/>
    </row>
    <row r="211" spans="1:105" x14ac:dyDescent="0.25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  <c r="BI211" s="245"/>
      <c r="BJ211" s="245"/>
      <c r="BK211" s="245"/>
      <c r="BL211" s="245"/>
      <c r="BM211" s="245"/>
      <c r="BN211" s="245"/>
      <c r="BO211" s="245"/>
      <c r="BP211" s="245"/>
      <c r="BQ211" s="245"/>
      <c r="BR211" s="245"/>
      <c r="BS211" s="245"/>
      <c r="BT211" s="245"/>
      <c r="BU211" s="245"/>
      <c r="BV211" s="245"/>
      <c r="BW211" s="245"/>
      <c r="BX211" s="245"/>
      <c r="BY211" s="245"/>
      <c r="BZ211" s="245"/>
      <c r="CA211" s="245"/>
      <c r="CB211" s="245"/>
      <c r="CC211" s="245"/>
      <c r="CD211" s="245"/>
      <c r="CE211" s="245"/>
      <c r="CF211" s="245"/>
      <c r="CG211" s="245"/>
      <c r="CH211" s="245"/>
      <c r="CI211" s="245"/>
      <c r="CJ211" s="245"/>
      <c r="CK211" s="245"/>
      <c r="CL211" s="245"/>
      <c r="CM211" s="245"/>
      <c r="CN211" s="245"/>
      <c r="CO211" s="245"/>
      <c r="CP211" s="245"/>
      <c r="CQ211" s="245"/>
      <c r="CR211" s="245"/>
      <c r="CS211" s="245"/>
      <c r="CT211" s="245"/>
      <c r="CU211" s="245"/>
      <c r="CV211" s="245"/>
      <c r="CW211" s="245"/>
      <c r="CX211" s="245"/>
      <c r="CY211" s="245"/>
      <c r="CZ211" s="245"/>
      <c r="DA211" s="245"/>
    </row>
    <row r="212" spans="1:105" x14ac:dyDescent="0.25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</row>
    <row r="213" spans="1:105" x14ac:dyDescent="0.25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  <c r="BI213" s="245"/>
      <c r="BJ213" s="245"/>
      <c r="BK213" s="245"/>
      <c r="BL213" s="245"/>
      <c r="BM213" s="245"/>
      <c r="BN213" s="245"/>
      <c r="BO213" s="245"/>
      <c r="BP213" s="245"/>
      <c r="BQ213" s="245"/>
      <c r="BR213" s="245"/>
      <c r="BS213" s="245"/>
      <c r="BT213" s="245"/>
      <c r="BU213" s="245"/>
      <c r="BV213" s="245"/>
      <c r="BW213" s="245"/>
      <c r="BX213" s="245"/>
      <c r="BY213" s="245"/>
      <c r="BZ213" s="245"/>
      <c r="CA213" s="245"/>
      <c r="CB213" s="245"/>
      <c r="CC213" s="245"/>
      <c r="CD213" s="245"/>
      <c r="CE213" s="245"/>
      <c r="CF213" s="245"/>
      <c r="CG213" s="245"/>
      <c r="CH213" s="245"/>
      <c r="CI213" s="245"/>
      <c r="CJ213" s="245"/>
      <c r="CK213" s="245"/>
      <c r="CL213" s="245"/>
      <c r="CM213" s="245"/>
      <c r="CN213" s="245"/>
      <c r="CO213" s="245"/>
      <c r="CP213" s="245"/>
      <c r="CQ213" s="245"/>
      <c r="CR213" s="245"/>
      <c r="CS213" s="245"/>
      <c r="CT213" s="245"/>
      <c r="CU213" s="245"/>
      <c r="CV213" s="245"/>
      <c r="CW213" s="245"/>
      <c r="CX213" s="245"/>
      <c r="CY213" s="245"/>
      <c r="CZ213" s="245"/>
      <c r="DA213" s="245"/>
    </row>
    <row r="214" spans="1:105" x14ac:dyDescent="0.25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  <c r="BI214" s="245"/>
      <c r="BJ214" s="245"/>
      <c r="BK214" s="245"/>
      <c r="BL214" s="245"/>
      <c r="BM214" s="245"/>
      <c r="BN214" s="245"/>
      <c r="BO214" s="245"/>
      <c r="BP214" s="245"/>
      <c r="BQ214" s="245"/>
      <c r="BR214" s="245"/>
      <c r="BS214" s="245"/>
      <c r="BT214" s="245"/>
      <c r="BU214" s="245"/>
      <c r="BV214" s="245"/>
      <c r="BW214" s="245"/>
      <c r="BX214" s="245"/>
      <c r="BY214" s="245"/>
      <c r="BZ214" s="245"/>
      <c r="CA214" s="245"/>
      <c r="CB214" s="245"/>
      <c r="CC214" s="245"/>
      <c r="CD214" s="245"/>
      <c r="CE214" s="245"/>
      <c r="CF214" s="245"/>
      <c r="CG214" s="245"/>
      <c r="CH214" s="245"/>
      <c r="CI214" s="245"/>
      <c r="CJ214" s="245"/>
      <c r="CK214" s="245"/>
      <c r="CL214" s="245"/>
      <c r="CM214" s="245"/>
      <c r="CN214" s="245"/>
      <c r="CO214" s="245"/>
      <c r="CP214" s="245"/>
      <c r="CQ214" s="245"/>
      <c r="CR214" s="245"/>
      <c r="CS214" s="245"/>
      <c r="CT214" s="245"/>
      <c r="CU214" s="245"/>
      <c r="CV214" s="245"/>
      <c r="CW214" s="245"/>
      <c r="CX214" s="245"/>
      <c r="CY214" s="245"/>
      <c r="CZ214" s="245"/>
      <c r="DA214" s="245"/>
    </row>
    <row r="215" spans="1:105" x14ac:dyDescent="0.25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  <c r="BI215" s="245"/>
      <c r="BJ215" s="245"/>
      <c r="BK215" s="245"/>
      <c r="BL215" s="245"/>
      <c r="BM215" s="245"/>
      <c r="BN215" s="245"/>
      <c r="BO215" s="245"/>
      <c r="BP215" s="245"/>
      <c r="BQ215" s="245"/>
      <c r="BR215" s="245"/>
      <c r="BS215" s="245"/>
      <c r="BT215" s="245"/>
      <c r="BU215" s="245"/>
      <c r="BV215" s="245"/>
      <c r="BW215" s="245"/>
      <c r="BX215" s="245"/>
      <c r="BY215" s="245"/>
      <c r="BZ215" s="245"/>
      <c r="CA215" s="245"/>
      <c r="CB215" s="245"/>
      <c r="CC215" s="245"/>
      <c r="CD215" s="245"/>
      <c r="CE215" s="245"/>
      <c r="CF215" s="245"/>
      <c r="CG215" s="245"/>
      <c r="CH215" s="245"/>
      <c r="CI215" s="245"/>
      <c r="CJ215" s="245"/>
      <c r="CK215" s="245"/>
      <c r="CL215" s="245"/>
      <c r="CM215" s="245"/>
      <c r="CN215" s="245"/>
      <c r="CO215" s="245"/>
      <c r="CP215" s="245"/>
      <c r="CQ215" s="245"/>
      <c r="CR215" s="245"/>
      <c r="CS215" s="245"/>
      <c r="CT215" s="245"/>
      <c r="CU215" s="245"/>
      <c r="CV215" s="245"/>
      <c r="CW215" s="245"/>
      <c r="CX215" s="245"/>
      <c r="CY215" s="245"/>
      <c r="CZ215" s="245"/>
      <c r="DA215" s="245"/>
    </row>
    <row r="216" spans="1:105" x14ac:dyDescent="0.25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5"/>
      <c r="BF216" s="245"/>
      <c r="BG216" s="245"/>
      <c r="BH216" s="245"/>
      <c r="BI216" s="245"/>
      <c r="BJ216" s="245"/>
      <c r="BK216" s="245"/>
      <c r="BL216" s="245"/>
      <c r="BM216" s="245"/>
      <c r="BN216" s="245"/>
      <c r="BO216" s="245"/>
      <c r="BP216" s="245"/>
      <c r="BQ216" s="245"/>
      <c r="BR216" s="245"/>
      <c r="BS216" s="245"/>
      <c r="BT216" s="245"/>
      <c r="BU216" s="245"/>
      <c r="BV216" s="245"/>
      <c r="BW216" s="245"/>
      <c r="BX216" s="245"/>
      <c r="BY216" s="245"/>
      <c r="BZ216" s="245"/>
      <c r="CA216" s="245"/>
      <c r="CB216" s="245"/>
      <c r="CC216" s="245"/>
      <c r="CD216" s="245"/>
      <c r="CE216" s="245"/>
      <c r="CF216" s="245"/>
      <c r="CG216" s="245"/>
      <c r="CH216" s="245"/>
      <c r="CI216" s="245"/>
      <c r="CJ216" s="245"/>
      <c r="CK216" s="245"/>
      <c r="CL216" s="245"/>
      <c r="CM216" s="245"/>
      <c r="CN216" s="245"/>
      <c r="CO216" s="245"/>
      <c r="CP216" s="245"/>
      <c r="CQ216" s="245"/>
      <c r="CR216" s="245"/>
      <c r="CS216" s="245"/>
      <c r="CT216" s="245"/>
      <c r="CU216" s="245"/>
      <c r="CV216" s="245"/>
      <c r="CW216" s="245"/>
      <c r="CX216" s="245"/>
      <c r="CY216" s="245"/>
      <c r="CZ216" s="245"/>
      <c r="DA216" s="245"/>
    </row>
    <row r="217" spans="1:105" x14ac:dyDescent="0.25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  <c r="BI217" s="245"/>
      <c r="BJ217" s="245"/>
      <c r="BK217" s="245"/>
      <c r="BL217" s="245"/>
      <c r="BM217" s="245"/>
      <c r="BN217" s="245"/>
      <c r="BO217" s="245"/>
      <c r="BP217" s="245"/>
      <c r="BQ217" s="245"/>
      <c r="BR217" s="245"/>
      <c r="BS217" s="245"/>
      <c r="BT217" s="245"/>
      <c r="BU217" s="245"/>
      <c r="BV217" s="245"/>
      <c r="BW217" s="245"/>
      <c r="BX217" s="245"/>
      <c r="BY217" s="245"/>
      <c r="BZ217" s="245"/>
      <c r="CA217" s="245"/>
      <c r="CB217" s="245"/>
      <c r="CC217" s="245"/>
      <c r="CD217" s="245"/>
      <c r="CE217" s="245"/>
      <c r="CF217" s="245"/>
      <c r="CG217" s="245"/>
      <c r="CH217" s="245"/>
      <c r="CI217" s="245"/>
      <c r="CJ217" s="245"/>
      <c r="CK217" s="245"/>
      <c r="CL217" s="245"/>
      <c r="CM217" s="245"/>
      <c r="CN217" s="245"/>
      <c r="CO217" s="245"/>
      <c r="CP217" s="245"/>
      <c r="CQ217" s="245"/>
      <c r="CR217" s="245"/>
      <c r="CS217" s="245"/>
      <c r="CT217" s="245"/>
      <c r="CU217" s="245"/>
      <c r="CV217" s="245"/>
      <c r="CW217" s="245"/>
      <c r="CX217" s="245"/>
      <c r="CY217" s="245"/>
      <c r="CZ217" s="245"/>
      <c r="DA217" s="245"/>
    </row>
    <row r="218" spans="1:105" x14ac:dyDescent="0.25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  <c r="BI218" s="245"/>
      <c r="BJ218" s="245"/>
      <c r="BK218" s="245"/>
      <c r="BL218" s="245"/>
      <c r="BM218" s="245"/>
      <c r="BN218" s="245"/>
      <c r="BO218" s="245"/>
      <c r="BP218" s="245"/>
      <c r="BQ218" s="245"/>
      <c r="BR218" s="245"/>
      <c r="BS218" s="245"/>
      <c r="BT218" s="245"/>
      <c r="BU218" s="245"/>
      <c r="BV218" s="245"/>
      <c r="BW218" s="245"/>
      <c r="BX218" s="245"/>
      <c r="BY218" s="245"/>
      <c r="BZ218" s="245"/>
      <c r="CA218" s="245"/>
      <c r="CB218" s="245"/>
      <c r="CC218" s="245"/>
      <c r="CD218" s="245"/>
      <c r="CE218" s="245"/>
      <c r="CF218" s="245"/>
      <c r="CG218" s="245"/>
      <c r="CH218" s="245"/>
      <c r="CI218" s="245"/>
      <c r="CJ218" s="245"/>
      <c r="CK218" s="245"/>
      <c r="CL218" s="245"/>
      <c r="CM218" s="245"/>
      <c r="CN218" s="245"/>
      <c r="CO218" s="245"/>
      <c r="CP218" s="245"/>
      <c r="CQ218" s="245"/>
      <c r="CR218" s="245"/>
      <c r="CS218" s="245"/>
      <c r="CT218" s="245"/>
      <c r="CU218" s="245"/>
      <c r="CV218" s="245"/>
      <c r="CW218" s="245"/>
      <c r="CX218" s="245"/>
      <c r="CY218" s="245"/>
      <c r="CZ218" s="245"/>
      <c r="DA218" s="245"/>
    </row>
    <row r="219" spans="1:105" x14ac:dyDescent="0.25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  <c r="BI219" s="245"/>
      <c r="BJ219" s="245"/>
      <c r="BK219" s="245"/>
      <c r="BL219" s="245"/>
      <c r="BM219" s="245"/>
      <c r="BN219" s="245"/>
      <c r="BO219" s="245"/>
      <c r="BP219" s="245"/>
      <c r="BQ219" s="245"/>
      <c r="BR219" s="245"/>
      <c r="BS219" s="245"/>
      <c r="BT219" s="245"/>
      <c r="BU219" s="245"/>
      <c r="BV219" s="245"/>
      <c r="BW219" s="245"/>
      <c r="BX219" s="245"/>
      <c r="BY219" s="245"/>
      <c r="BZ219" s="245"/>
      <c r="CA219" s="245"/>
      <c r="CB219" s="245"/>
      <c r="CC219" s="245"/>
      <c r="CD219" s="245"/>
      <c r="CE219" s="245"/>
      <c r="CF219" s="245"/>
      <c r="CG219" s="245"/>
      <c r="CH219" s="245"/>
      <c r="CI219" s="245"/>
      <c r="CJ219" s="245"/>
      <c r="CK219" s="245"/>
      <c r="CL219" s="245"/>
      <c r="CM219" s="245"/>
      <c r="CN219" s="245"/>
      <c r="CO219" s="245"/>
      <c r="CP219" s="245"/>
      <c r="CQ219" s="245"/>
      <c r="CR219" s="245"/>
      <c r="CS219" s="245"/>
      <c r="CT219" s="245"/>
      <c r="CU219" s="245"/>
      <c r="CV219" s="245"/>
      <c r="CW219" s="245"/>
      <c r="CX219" s="245"/>
      <c r="CY219" s="245"/>
      <c r="CZ219" s="245"/>
      <c r="DA219" s="245"/>
    </row>
    <row r="220" spans="1:105" x14ac:dyDescent="0.25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5"/>
      <c r="BF220" s="245"/>
      <c r="BG220" s="245"/>
      <c r="BH220" s="245"/>
      <c r="BI220" s="245"/>
      <c r="BJ220" s="245"/>
      <c r="BK220" s="245"/>
      <c r="BL220" s="245"/>
      <c r="BM220" s="245"/>
      <c r="BN220" s="245"/>
      <c r="BO220" s="245"/>
      <c r="BP220" s="245"/>
      <c r="BQ220" s="245"/>
      <c r="BR220" s="245"/>
      <c r="BS220" s="245"/>
      <c r="BT220" s="245"/>
      <c r="BU220" s="245"/>
      <c r="BV220" s="245"/>
      <c r="BW220" s="245"/>
      <c r="BX220" s="245"/>
      <c r="BY220" s="245"/>
      <c r="BZ220" s="245"/>
      <c r="CA220" s="245"/>
      <c r="CB220" s="245"/>
      <c r="CC220" s="245"/>
      <c r="CD220" s="245"/>
      <c r="CE220" s="245"/>
      <c r="CF220" s="245"/>
      <c r="CG220" s="245"/>
      <c r="CH220" s="245"/>
      <c r="CI220" s="245"/>
      <c r="CJ220" s="245"/>
      <c r="CK220" s="245"/>
      <c r="CL220" s="245"/>
      <c r="CM220" s="245"/>
      <c r="CN220" s="245"/>
      <c r="CO220" s="245"/>
      <c r="CP220" s="245"/>
      <c r="CQ220" s="245"/>
      <c r="CR220" s="245"/>
      <c r="CS220" s="245"/>
      <c r="CT220" s="245"/>
      <c r="CU220" s="245"/>
      <c r="CV220" s="245"/>
      <c r="CW220" s="245"/>
      <c r="CX220" s="245"/>
      <c r="CY220" s="245"/>
      <c r="CZ220" s="245"/>
      <c r="DA220" s="245"/>
    </row>
    <row r="221" spans="1:105" x14ac:dyDescent="0.25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  <c r="CU221" s="245"/>
      <c r="CV221" s="245"/>
      <c r="CW221" s="245"/>
      <c r="CX221" s="245"/>
      <c r="CY221" s="245"/>
      <c r="CZ221" s="245"/>
      <c r="DA221" s="245"/>
    </row>
    <row r="222" spans="1:105" x14ac:dyDescent="0.25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  <c r="CU222" s="245"/>
      <c r="CV222" s="245"/>
      <c r="CW222" s="245"/>
      <c r="CX222" s="245"/>
      <c r="CY222" s="245"/>
      <c r="CZ222" s="245"/>
      <c r="DA222" s="245"/>
    </row>
    <row r="223" spans="1:105" x14ac:dyDescent="0.25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  <c r="CU223" s="245"/>
      <c r="CV223" s="245"/>
      <c r="CW223" s="245"/>
      <c r="CX223" s="245"/>
      <c r="CY223" s="245"/>
      <c r="CZ223" s="245"/>
      <c r="DA223" s="245"/>
    </row>
    <row r="224" spans="1:105" x14ac:dyDescent="0.25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</row>
    <row r="225" spans="1:105" x14ac:dyDescent="0.25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5"/>
      <c r="BF225" s="245"/>
      <c r="BG225" s="245"/>
      <c r="BH225" s="245"/>
      <c r="BI225" s="245"/>
      <c r="BJ225" s="245"/>
      <c r="BK225" s="245"/>
      <c r="BL225" s="245"/>
      <c r="BM225" s="245"/>
      <c r="BN225" s="245"/>
      <c r="BO225" s="245"/>
      <c r="BP225" s="245"/>
      <c r="BQ225" s="245"/>
      <c r="BR225" s="245"/>
      <c r="BS225" s="245"/>
      <c r="BT225" s="245"/>
      <c r="BU225" s="245"/>
      <c r="BV225" s="245"/>
      <c r="BW225" s="245"/>
      <c r="BX225" s="245"/>
      <c r="BY225" s="245"/>
      <c r="BZ225" s="245"/>
      <c r="CA225" s="245"/>
      <c r="CB225" s="245"/>
      <c r="CC225" s="245"/>
      <c r="CD225" s="245"/>
      <c r="CE225" s="245"/>
      <c r="CF225" s="245"/>
      <c r="CG225" s="245"/>
      <c r="CH225" s="245"/>
      <c r="CI225" s="245"/>
      <c r="CJ225" s="245"/>
      <c r="CK225" s="245"/>
      <c r="CL225" s="245"/>
      <c r="CM225" s="245"/>
      <c r="CN225" s="245"/>
      <c r="CO225" s="245"/>
      <c r="CP225" s="245"/>
      <c r="CQ225" s="245"/>
      <c r="CR225" s="245"/>
      <c r="CS225" s="245"/>
      <c r="CT225" s="245"/>
      <c r="CU225" s="245"/>
      <c r="CV225" s="245"/>
      <c r="CW225" s="245"/>
      <c r="CX225" s="245"/>
      <c r="CY225" s="245"/>
      <c r="CZ225" s="245"/>
      <c r="DA225" s="245"/>
    </row>
    <row r="226" spans="1:105" x14ac:dyDescent="0.25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5"/>
      <c r="BF226" s="245"/>
      <c r="BG226" s="245"/>
      <c r="BH226" s="245"/>
      <c r="BI226" s="245"/>
      <c r="BJ226" s="245"/>
      <c r="BK226" s="245"/>
      <c r="BL226" s="245"/>
      <c r="BM226" s="245"/>
      <c r="BN226" s="245"/>
      <c r="BO226" s="245"/>
      <c r="BP226" s="245"/>
      <c r="BQ226" s="245"/>
      <c r="BR226" s="245"/>
      <c r="BS226" s="245"/>
      <c r="BT226" s="245"/>
      <c r="BU226" s="245"/>
      <c r="BV226" s="245"/>
      <c r="BW226" s="245"/>
      <c r="BX226" s="245"/>
      <c r="BY226" s="245"/>
      <c r="BZ226" s="245"/>
      <c r="CA226" s="245"/>
      <c r="CB226" s="245"/>
      <c r="CC226" s="245"/>
      <c r="CD226" s="245"/>
      <c r="CE226" s="245"/>
      <c r="CF226" s="245"/>
      <c r="CG226" s="245"/>
      <c r="CH226" s="245"/>
      <c r="CI226" s="245"/>
      <c r="CJ226" s="245"/>
      <c r="CK226" s="245"/>
      <c r="CL226" s="245"/>
      <c r="CM226" s="245"/>
      <c r="CN226" s="245"/>
      <c r="CO226" s="245"/>
      <c r="CP226" s="245"/>
      <c r="CQ226" s="245"/>
      <c r="CR226" s="245"/>
      <c r="CS226" s="245"/>
      <c r="CT226" s="245"/>
      <c r="CU226" s="245"/>
      <c r="CV226" s="245"/>
      <c r="CW226" s="245"/>
      <c r="CX226" s="245"/>
      <c r="CY226" s="245"/>
      <c r="CZ226" s="245"/>
      <c r="DA226" s="245"/>
    </row>
    <row r="227" spans="1:105" x14ac:dyDescent="0.25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5"/>
      <c r="BF227" s="245"/>
      <c r="BG227" s="245"/>
      <c r="BH227" s="245"/>
      <c r="BI227" s="245"/>
      <c r="BJ227" s="245"/>
      <c r="BK227" s="245"/>
      <c r="BL227" s="245"/>
      <c r="BM227" s="245"/>
      <c r="BN227" s="245"/>
      <c r="BO227" s="245"/>
      <c r="BP227" s="245"/>
      <c r="BQ227" s="245"/>
      <c r="BR227" s="245"/>
      <c r="BS227" s="245"/>
      <c r="BT227" s="245"/>
      <c r="BU227" s="245"/>
      <c r="BV227" s="245"/>
      <c r="BW227" s="245"/>
      <c r="BX227" s="245"/>
      <c r="BY227" s="245"/>
      <c r="BZ227" s="245"/>
      <c r="CA227" s="245"/>
      <c r="CB227" s="245"/>
      <c r="CC227" s="245"/>
      <c r="CD227" s="245"/>
      <c r="CE227" s="245"/>
      <c r="CF227" s="245"/>
      <c r="CG227" s="245"/>
      <c r="CH227" s="245"/>
      <c r="CI227" s="245"/>
      <c r="CJ227" s="245"/>
      <c r="CK227" s="245"/>
      <c r="CL227" s="245"/>
      <c r="CM227" s="245"/>
      <c r="CN227" s="245"/>
      <c r="CO227" s="245"/>
      <c r="CP227" s="245"/>
      <c r="CQ227" s="245"/>
      <c r="CR227" s="245"/>
      <c r="CS227" s="245"/>
      <c r="CT227" s="245"/>
      <c r="CU227" s="245"/>
      <c r="CV227" s="245"/>
      <c r="CW227" s="245"/>
      <c r="CX227" s="245"/>
      <c r="CY227" s="245"/>
      <c r="CZ227" s="245"/>
      <c r="DA227" s="245"/>
    </row>
    <row r="228" spans="1:105" x14ac:dyDescent="0.25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5"/>
      <c r="BF228" s="245"/>
      <c r="BG228" s="245"/>
      <c r="BH228" s="245"/>
      <c r="BI228" s="245"/>
      <c r="BJ228" s="245"/>
      <c r="BK228" s="245"/>
      <c r="BL228" s="245"/>
      <c r="BM228" s="245"/>
      <c r="BN228" s="245"/>
      <c r="BO228" s="245"/>
      <c r="BP228" s="245"/>
      <c r="BQ228" s="245"/>
      <c r="BR228" s="245"/>
      <c r="BS228" s="245"/>
      <c r="BT228" s="245"/>
      <c r="BU228" s="245"/>
      <c r="BV228" s="245"/>
      <c r="BW228" s="245"/>
      <c r="BX228" s="245"/>
      <c r="BY228" s="245"/>
      <c r="BZ228" s="245"/>
      <c r="CA228" s="245"/>
      <c r="CB228" s="245"/>
      <c r="CC228" s="245"/>
      <c r="CD228" s="245"/>
      <c r="CE228" s="245"/>
      <c r="CF228" s="245"/>
      <c r="CG228" s="245"/>
      <c r="CH228" s="245"/>
      <c r="CI228" s="245"/>
      <c r="CJ228" s="245"/>
      <c r="CK228" s="245"/>
      <c r="CL228" s="245"/>
      <c r="CM228" s="245"/>
      <c r="CN228" s="245"/>
      <c r="CO228" s="245"/>
      <c r="CP228" s="245"/>
      <c r="CQ228" s="245"/>
      <c r="CR228" s="245"/>
      <c r="CS228" s="245"/>
      <c r="CT228" s="245"/>
      <c r="CU228" s="245"/>
      <c r="CV228" s="245"/>
      <c r="CW228" s="245"/>
      <c r="CX228" s="245"/>
      <c r="CY228" s="245"/>
      <c r="CZ228" s="245"/>
      <c r="DA228" s="245"/>
    </row>
    <row r="229" spans="1:105" x14ac:dyDescent="0.25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245"/>
      <c r="BV229" s="245"/>
      <c r="BW229" s="245"/>
      <c r="BX229" s="245"/>
      <c r="BY229" s="245"/>
      <c r="BZ229" s="245"/>
      <c r="CA229" s="245"/>
      <c r="CB229" s="245"/>
      <c r="CC229" s="245"/>
      <c r="CD229" s="245"/>
      <c r="CE229" s="245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5"/>
      <c r="CT229" s="245"/>
      <c r="CU229" s="245"/>
      <c r="CV229" s="245"/>
      <c r="CW229" s="245"/>
      <c r="CX229" s="245"/>
      <c r="CY229" s="245"/>
      <c r="CZ229" s="245"/>
      <c r="DA229" s="245"/>
    </row>
    <row r="230" spans="1:105" x14ac:dyDescent="0.25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5"/>
      <c r="BF230" s="245"/>
      <c r="BG230" s="245"/>
      <c r="BH230" s="245"/>
      <c r="BI230" s="245"/>
      <c r="BJ230" s="245"/>
      <c r="BK230" s="245"/>
      <c r="BL230" s="245"/>
      <c r="BM230" s="245"/>
      <c r="BN230" s="245"/>
      <c r="BO230" s="245"/>
      <c r="BP230" s="245"/>
      <c r="BQ230" s="245"/>
      <c r="BR230" s="245"/>
      <c r="BS230" s="245"/>
      <c r="BT230" s="245"/>
      <c r="BU230" s="245"/>
      <c r="BV230" s="245"/>
      <c r="BW230" s="245"/>
      <c r="BX230" s="245"/>
      <c r="BY230" s="245"/>
      <c r="BZ230" s="245"/>
      <c r="CA230" s="245"/>
      <c r="CB230" s="245"/>
      <c r="CC230" s="245"/>
      <c r="CD230" s="245"/>
      <c r="CE230" s="245"/>
      <c r="CF230" s="245"/>
      <c r="CG230" s="245"/>
      <c r="CH230" s="245"/>
      <c r="CI230" s="245"/>
      <c r="CJ230" s="245"/>
      <c r="CK230" s="245"/>
      <c r="CL230" s="245"/>
      <c r="CM230" s="245"/>
      <c r="CN230" s="245"/>
      <c r="CO230" s="245"/>
      <c r="CP230" s="245"/>
      <c r="CQ230" s="245"/>
      <c r="CR230" s="245"/>
      <c r="CS230" s="245"/>
      <c r="CT230" s="245"/>
      <c r="CU230" s="245"/>
      <c r="CV230" s="245"/>
      <c r="CW230" s="245"/>
      <c r="CX230" s="245"/>
      <c r="CY230" s="245"/>
      <c r="CZ230" s="245"/>
      <c r="DA230" s="245"/>
    </row>
    <row r="231" spans="1:105" x14ac:dyDescent="0.25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</row>
    <row r="232" spans="1:105" x14ac:dyDescent="0.25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</row>
    <row r="233" spans="1:105" x14ac:dyDescent="0.25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</row>
    <row r="234" spans="1:105" x14ac:dyDescent="0.25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5"/>
      <c r="BF234" s="245"/>
      <c r="BG234" s="245"/>
      <c r="BH234" s="245"/>
      <c r="BI234" s="245"/>
      <c r="BJ234" s="245"/>
      <c r="BK234" s="245"/>
      <c r="BL234" s="245"/>
      <c r="BM234" s="245"/>
      <c r="BN234" s="245"/>
      <c r="BO234" s="245"/>
      <c r="BP234" s="245"/>
      <c r="BQ234" s="245"/>
      <c r="BR234" s="245"/>
      <c r="BS234" s="245"/>
      <c r="BT234" s="245"/>
      <c r="BU234" s="245"/>
      <c r="BV234" s="245"/>
      <c r="BW234" s="245"/>
      <c r="BX234" s="245"/>
      <c r="BY234" s="245"/>
      <c r="BZ234" s="245"/>
      <c r="CA234" s="245"/>
      <c r="CB234" s="245"/>
      <c r="CC234" s="245"/>
      <c r="CD234" s="245"/>
      <c r="CE234" s="245"/>
      <c r="CF234" s="245"/>
      <c r="CG234" s="245"/>
      <c r="CH234" s="245"/>
      <c r="CI234" s="245"/>
      <c r="CJ234" s="245"/>
      <c r="CK234" s="245"/>
      <c r="CL234" s="245"/>
      <c r="CM234" s="245"/>
      <c r="CN234" s="245"/>
      <c r="CO234" s="245"/>
      <c r="CP234" s="245"/>
      <c r="CQ234" s="245"/>
      <c r="CR234" s="245"/>
      <c r="CS234" s="245"/>
      <c r="CT234" s="245"/>
      <c r="CU234" s="245"/>
      <c r="CV234" s="245"/>
      <c r="CW234" s="245"/>
      <c r="CX234" s="245"/>
      <c r="CY234" s="245"/>
      <c r="CZ234" s="245"/>
      <c r="DA234" s="245"/>
    </row>
    <row r="235" spans="1:105" x14ac:dyDescent="0.25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5"/>
      <c r="BF235" s="245"/>
      <c r="BG235" s="245"/>
      <c r="BH235" s="245"/>
      <c r="BI235" s="245"/>
      <c r="BJ235" s="245"/>
      <c r="BK235" s="245"/>
      <c r="BL235" s="245"/>
      <c r="BM235" s="245"/>
      <c r="BN235" s="245"/>
      <c r="BO235" s="245"/>
      <c r="BP235" s="245"/>
      <c r="BQ235" s="245"/>
      <c r="BR235" s="245"/>
      <c r="BS235" s="245"/>
      <c r="BT235" s="245"/>
      <c r="BU235" s="245"/>
      <c r="BV235" s="245"/>
      <c r="BW235" s="245"/>
      <c r="BX235" s="245"/>
      <c r="BY235" s="245"/>
      <c r="BZ235" s="245"/>
      <c r="CA235" s="245"/>
      <c r="CB235" s="245"/>
      <c r="CC235" s="245"/>
      <c r="CD235" s="245"/>
      <c r="CE235" s="245"/>
      <c r="CF235" s="245"/>
      <c r="CG235" s="245"/>
      <c r="CH235" s="245"/>
      <c r="CI235" s="245"/>
      <c r="CJ235" s="245"/>
      <c r="CK235" s="245"/>
      <c r="CL235" s="245"/>
      <c r="CM235" s="245"/>
      <c r="CN235" s="245"/>
      <c r="CO235" s="245"/>
      <c r="CP235" s="245"/>
      <c r="CQ235" s="245"/>
      <c r="CR235" s="245"/>
      <c r="CS235" s="245"/>
      <c r="CT235" s="245"/>
      <c r="CU235" s="245"/>
      <c r="CV235" s="245"/>
      <c r="CW235" s="245"/>
      <c r="CX235" s="245"/>
      <c r="CY235" s="245"/>
      <c r="CZ235" s="245"/>
      <c r="DA235" s="245"/>
    </row>
    <row r="236" spans="1:105" x14ac:dyDescent="0.25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5"/>
      <c r="BF236" s="245"/>
      <c r="BG236" s="245"/>
      <c r="BH236" s="245"/>
      <c r="BI236" s="245"/>
      <c r="BJ236" s="245"/>
      <c r="BK236" s="245"/>
      <c r="BL236" s="245"/>
      <c r="BM236" s="245"/>
      <c r="BN236" s="245"/>
      <c r="BO236" s="245"/>
      <c r="BP236" s="245"/>
      <c r="BQ236" s="245"/>
      <c r="BR236" s="245"/>
      <c r="BS236" s="245"/>
      <c r="BT236" s="245"/>
      <c r="BU236" s="245"/>
      <c r="BV236" s="245"/>
      <c r="BW236" s="245"/>
      <c r="BX236" s="245"/>
      <c r="BY236" s="245"/>
      <c r="BZ236" s="245"/>
      <c r="CA236" s="245"/>
      <c r="CB236" s="245"/>
      <c r="CC236" s="245"/>
      <c r="CD236" s="245"/>
      <c r="CE236" s="245"/>
      <c r="CF236" s="245"/>
      <c r="CG236" s="245"/>
      <c r="CH236" s="245"/>
      <c r="CI236" s="245"/>
      <c r="CJ236" s="245"/>
      <c r="CK236" s="245"/>
      <c r="CL236" s="245"/>
      <c r="CM236" s="245"/>
      <c r="CN236" s="245"/>
      <c r="CO236" s="245"/>
      <c r="CP236" s="245"/>
      <c r="CQ236" s="245"/>
      <c r="CR236" s="245"/>
      <c r="CS236" s="245"/>
      <c r="CT236" s="245"/>
      <c r="CU236" s="245"/>
      <c r="CV236" s="245"/>
      <c r="CW236" s="245"/>
      <c r="CX236" s="245"/>
      <c r="CY236" s="245"/>
      <c r="CZ236" s="245"/>
      <c r="DA236" s="245"/>
    </row>
    <row r="237" spans="1:105" x14ac:dyDescent="0.25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  <c r="BC237" s="245"/>
      <c r="BD237" s="245"/>
      <c r="BE237" s="245"/>
      <c r="BF237" s="245"/>
      <c r="BG237" s="245"/>
      <c r="BH237" s="245"/>
      <c r="BI237" s="245"/>
      <c r="BJ237" s="245"/>
      <c r="BK237" s="245"/>
      <c r="BL237" s="245"/>
      <c r="BM237" s="245"/>
      <c r="BN237" s="245"/>
      <c r="BO237" s="245"/>
      <c r="BP237" s="245"/>
      <c r="BQ237" s="245"/>
      <c r="BR237" s="245"/>
      <c r="BS237" s="245"/>
      <c r="BT237" s="245"/>
      <c r="BU237" s="245"/>
      <c r="BV237" s="245"/>
      <c r="BW237" s="245"/>
      <c r="BX237" s="245"/>
      <c r="BY237" s="245"/>
      <c r="BZ237" s="245"/>
      <c r="CA237" s="245"/>
      <c r="CB237" s="245"/>
      <c r="CC237" s="245"/>
      <c r="CD237" s="245"/>
      <c r="CE237" s="245"/>
      <c r="CF237" s="245"/>
      <c r="CG237" s="245"/>
      <c r="CH237" s="245"/>
      <c r="CI237" s="245"/>
      <c r="CJ237" s="245"/>
      <c r="CK237" s="245"/>
      <c r="CL237" s="245"/>
      <c r="CM237" s="245"/>
      <c r="CN237" s="245"/>
      <c r="CO237" s="245"/>
      <c r="CP237" s="245"/>
      <c r="CQ237" s="245"/>
      <c r="CR237" s="245"/>
      <c r="CS237" s="245"/>
      <c r="CT237" s="245"/>
      <c r="CU237" s="245"/>
      <c r="CV237" s="245"/>
      <c r="CW237" s="245"/>
      <c r="CX237" s="245"/>
      <c r="CY237" s="245"/>
      <c r="CZ237" s="245"/>
      <c r="DA237" s="245"/>
    </row>
    <row r="238" spans="1:105" x14ac:dyDescent="0.25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  <c r="BC238" s="245"/>
      <c r="BD238" s="245"/>
      <c r="BE238" s="245"/>
      <c r="BF238" s="245"/>
      <c r="BG238" s="245"/>
      <c r="BH238" s="245"/>
      <c r="BI238" s="245"/>
      <c r="BJ238" s="245"/>
      <c r="BK238" s="245"/>
      <c r="BL238" s="245"/>
      <c r="BM238" s="245"/>
      <c r="BN238" s="245"/>
      <c r="BO238" s="245"/>
      <c r="BP238" s="245"/>
      <c r="BQ238" s="245"/>
      <c r="BR238" s="245"/>
      <c r="BS238" s="245"/>
      <c r="BT238" s="245"/>
      <c r="BU238" s="245"/>
      <c r="BV238" s="245"/>
      <c r="BW238" s="245"/>
      <c r="BX238" s="245"/>
      <c r="BY238" s="245"/>
      <c r="BZ238" s="245"/>
      <c r="CA238" s="245"/>
      <c r="CB238" s="245"/>
      <c r="CC238" s="245"/>
      <c r="CD238" s="245"/>
      <c r="CE238" s="245"/>
      <c r="CF238" s="245"/>
      <c r="CG238" s="245"/>
      <c r="CH238" s="245"/>
      <c r="CI238" s="245"/>
      <c r="CJ238" s="245"/>
      <c r="CK238" s="245"/>
      <c r="CL238" s="245"/>
      <c r="CM238" s="245"/>
      <c r="CN238" s="245"/>
      <c r="CO238" s="245"/>
      <c r="CP238" s="245"/>
      <c r="CQ238" s="245"/>
      <c r="CR238" s="245"/>
      <c r="CS238" s="245"/>
      <c r="CT238" s="245"/>
      <c r="CU238" s="245"/>
      <c r="CV238" s="245"/>
      <c r="CW238" s="245"/>
      <c r="CX238" s="245"/>
      <c r="CY238" s="245"/>
      <c r="CZ238" s="245"/>
      <c r="DA238" s="245"/>
    </row>
    <row r="239" spans="1:105" x14ac:dyDescent="0.25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  <c r="BC239" s="245"/>
      <c r="BD239" s="245"/>
      <c r="BE239" s="245"/>
      <c r="BF239" s="245"/>
      <c r="BG239" s="245"/>
      <c r="BH239" s="245"/>
      <c r="BI239" s="245"/>
      <c r="BJ239" s="245"/>
      <c r="BK239" s="245"/>
      <c r="BL239" s="245"/>
      <c r="BM239" s="245"/>
      <c r="BN239" s="245"/>
      <c r="BO239" s="245"/>
      <c r="BP239" s="245"/>
      <c r="BQ239" s="245"/>
      <c r="BR239" s="245"/>
      <c r="BS239" s="245"/>
      <c r="BT239" s="245"/>
      <c r="BU239" s="245"/>
      <c r="BV239" s="245"/>
      <c r="BW239" s="245"/>
      <c r="BX239" s="245"/>
      <c r="BY239" s="245"/>
      <c r="BZ239" s="245"/>
      <c r="CA239" s="245"/>
      <c r="CB239" s="245"/>
      <c r="CC239" s="245"/>
      <c r="CD239" s="245"/>
      <c r="CE239" s="245"/>
      <c r="CF239" s="245"/>
      <c r="CG239" s="245"/>
      <c r="CH239" s="245"/>
      <c r="CI239" s="245"/>
      <c r="CJ239" s="245"/>
      <c r="CK239" s="245"/>
      <c r="CL239" s="245"/>
      <c r="CM239" s="245"/>
      <c r="CN239" s="245"/>
      <c r="CO239" s="245"/>
      <c r="CP239" s="245"/>
      <c r="CQ239" s="245"/>
      <c r="CR239" s="245"/>
      <c r="CS239" s="245"/>
      <c r="CT239" s="245"/>
      <c r="CU239" s="245"/>
      <c r="CV239" s="245"/>
      <c r="CW239" s="245"/>
      <c r="CX239" s="245"/>
      <c r="CY239" s="245"/>
      <c r="CZ239" s="245"/>
      <c r="DA239" s="245"/>
    </row>
    <row r="240" spans="1:105" x14ac:dyDescent="0.25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  <c r="BC240" s="245"/>
      <c r="BD240" s="245"/>
      <c r="BE240" s="245"/>
      <c r="BF240" s="245"/>
      <c r="BG240" s="245"/>
      <c r="BH240" s="245"/>
      <c r="BI240" s="245"/>
      <c r="BJ240" s="245"/>
      <c r="BK240" s="245"/>
      <c r="BL240" s="245"/>
      <c r="BM240" s="245"/>
      <c r="BN240" s="245"/>
      <c r="BO240" s="245"/>
      <c r="BP240" s="245"/>
      <c r="BQ240" s="245"/>
      <c r="BR240" s="245"/>
      <c r="BS240" s="245"/>
      <c r="BT240" s="245"/>
      <c r="BU240" s="245"/>
      <c r="BV240" s="245"/>
      <c r="BW240" s="245"/>
      <c r="BX240" s="245"/>
      <c r="BY240" s="245"/>
      <c r="BZ240" s="245"/>
      <c r="CA240" s="245"/>
      <c r="CB240" s="245"/>
      <c r="CC240" s="245"/>
      <c r="CD240" s="245"/>
      <c r="CE240" s="245"/>
      <c r="CF240" s="245"/>
      <c r="CG240" s="245"/>
      <c r="CH240" s="245"/>
      <c r="CI240" s="245"/>
      <c r="CJ240" s="245"/>
      <c r="CK240" s="245"/>
      <c r="CL240" s="245"/>
      <c r="CM240" s="245"/>
      <c r="CN240" s="245"/>
      <c r="CO240" s="245"/>
      <c r="CP240" s="245"/>
      <c r="CQ240" s="245"/>
      <c r="CR240" s="245"/>
      <c r="CS240" s="245"/>
      <c r="CT240" s="245"/>
      <c r="CU240" s="245"/>
      <c r="CV240" s="245"/>
      <c r="CW240" s="245"/>
      <c r="CX240" s="245"/>
      <c r="CY240" s="245"/>
      <c r="CZ240" s="245"/>
      <c r="DA240" s="245"/>
    </row>
    <row r="241" spans="1:105" x14ac:dyDescent="0.25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5"/>
      <c r="BM241" s="245"/>
      <c r="BN241" s="245"/>
      <c r="BO241" s="245"/>
      <c r="BP241" s="245"/>
      <c r="BQ241" s="245"/>
      <c r="BR241" s="245"/>
      <c r="BS241" s="245"/>
      <c r="BT241" s="245"/>
      <c r="BU241" s="245"/>
      <c r="BV241" s="245"/>
      <c r="BW241" s="245"/>
      <c r="BX241" s="245"/>
      <c r="BY241" s="245"/>
      <c r="BZ241" s="245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45"/>
      <c r="CM241" s="245"/>
      <c r="CN241" s="245"/>
      <c r="CO241" s="245"/>
      <c r="CP241" s="245"/>
      <c r="CQ241" s="245"/>
      <c r="CR241" s="245"/>
      <c r="CS241" s="245"/>
      <c r="CT241" s="245"/>
      <c r="CU241" s="245"/>
      <c r="CV241" s="245"/>
      <c r="CW241" s="245"/>
      <c r="CX241" s="245"/>
      <c r="CY241" s="245"/>
      <c r="CZ241" s="245"/>
      <c r="DA241" s="245"/>
    </row>
    <row r="242" spans="1:105" x14ac:dyDescent="0.25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5"/>
      <c r="BM242" s="245"/>
      <c r="BN242" s="245"/>
      <c r="BO242" s="245"/>
      <c r="BP242" s="245"/>
      <c r="BQ242" s="245"/>
      <c r="BR242" s="245"/>
      <c r="BS242" s="245"/>
      <c r="BT242" s="245"/>
      <c r="BU242" s="245"/>
      <c r="BV242" s="245"/>
      <c r="BW242" s="245"/>
      <c r="BX242" s="245"/>
      <c r="BY242" s="245"/>
      <c r="BZ242" s="245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45"/>
      <c r="CM242" s="245"/>
      <c r="CN242" s="245"/>
      <c r="CO242" s="245"/>
      <c r="CP242" s="245"/>
      <c r="CQ242" s="245"/>
      <c r="CR242" s="245"/>
      <c r="CS242" s="245"/>
      <c r="CT242" s="245"/>
      <c r="CU242" s="245"/>
      <c r="CV242" s="245"/>
      <c r="CW242" s="245"/>
      <c r="CX242" s="245"/>
      <c r="CY242" s="245"/>
      <c r="CZ242" s="245"/>
      <c r="DA242" s="245"/>
    </row>
    <row r="243" spans="1:105" x14ac:dyDescent="0.25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</row>
    <row r="244" spans="1:105" x14ac:dyDescent="0.25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5"/>
      <c r="BM244" s="245"/>
      <c r="BN244" s="245"/>
      <c r="BO244" s="245"/>
      <c r="BP244" s="245"/>
      <c r="BQ244" s="245"/>
      <c r="BR244" s="245"/>
      <c r="BS244" s="245"/>
      <c r="BT244" s="245"/>
      <c r="BU244" s="245"/>
      <c r="BV244" s="245"/>
      <c r="BW244" s="245"/>
      <c r="BX244" s="245"/>
      <c r="BY244" s="245"/>
      <c r="BZ244" s="245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45"/>
      <c r="CM244" s="245"/>
      <c r="CN244" s="245"/>
      <c r="CO244" s="245"/>
      <c r="CP244" s="245"/>
      <c r="CQ244" s="245"/>
      <c r="CR244" s="245"/>
      <c r="CS244" s="245"/>
      <c r="CT244" s="245"/>
      <c r="CU244" s="245"/>
      <c r="CV244" s="245"/>
      <c r="CW244" s="245"/>
      <c r="CX244" s="245"/>
      <c r="CY244" s="245"/>
      <c r="CZ244" s="245"/>
      <c r="DA244" s="245"/>
    </row>
    <row r="245" spans="1:105" x14ac:dyDescent="0.25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</row>
    <row r="246" spans="1:105" x14ac:dyDescent="0.25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5"/>
      <c r="BM246" s="245"/>
      <c r="BN246" s="245"/>
      <c r="BO246" s="245"/>
      <c r="BP246" s="245"/>
      <c r="BQ246" s="245"/>
      <c r="BR246" s="245"/>
      <c r="BS246" s="245"/>
      <c r="BT246" s="245"/>
      <c r="BU246" s="245"/>
      <c r="BV246" s="245"/>
      <c r="BW246" s="245"/>
      <c r="BX246" s="245"/>
      <c r="BY246" s="245"/>
      <c r="BZ246" s="245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45"/>
      <c r="CM246" s="245"/>
      <c r="CN246" s="245"/>
      <c r="CO246" s="245"/>
      <c r="CP246" s="245"/>
      <c r="CQ246" s="245"/>
      <c r="CR246" s="245"/>
      <c r="CS246" s="245"/>
      <c r="CT246" s="245"/>
      <c r="CU246" s="245"/>
      <c r="CV246" s="245"/>
      <c r="CW246" s="245"/>
      <c r="CX246" s="245"/>
      <c r="CY246" s="245"/>
      <c r="CZ246" s="245"/>
      <c r="DA246" s="245"/>
    </row>
    <row r="247" spans="1:105" x14ac:dyDescent="0.25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5"/>
      <c r="BM247" s="245"/>
      <c r="BN247" s="245"/>
      <c r="BO247" s="245"/>
      <c r="BP247" s="245"/>
      <c r="BQ247" s="245"/>
      <c r="BR247" s="245"/>
      <c r="BS247" s="245"/>
      <c r="BT247" s="245"/>
      <c r="BU247" s="245"/>
      <c r="BV247" s="245"/>
      <c r="BW247" s="245"/>
      <c r="BX247" s="245"/>
      <c r="BY247" s="245"/>
      <c r="BZ247" s="245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45"/>
      <c r="CM247" s="245"/>
      <c r="CN247" s="245"/>
      <c r="CO247" s="245"/>
      <c r="CP247" s="245"/>
      <c r="CQ247" s="245"/>
      <c r="CR247" s="245"/>
      <c r="CS247" s="245"/>
      <c r="CT247" s="245"/>
      <c r="CU247" s="245"/>
      <c r="CV247" s="245"/>
      <c r="CW247" s="245"/>
      <c r="CX247" s="245"/>
      <c r="CY247" s="245"/>
      <c r="CZ247" s="245"/>
      <c r="DA247" s="245"/>
    </row>
    <row r="248" spans="1:105" x14ac:dyDescent="0.25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5"/>
      <c r="BM248" s="245"/>
      <c r="BN248" s="245"/>
      <c r="BO248" s="245"/>
      <c r="BP248" s="245"/>
      <c r="BQ248" s="245"/>
      <c r="BR248" s="245"/>
      <c r="BS248" s="245"/>
      <c r="BT248" s="245"/>
      <c r="BU248" s="245"/>
      <c r="BV248" s="245"/>
      <c r="BW248" s="245"/>
      <c r="BX248" s="245"/>
      <c r="BY248" s="245"/>
      <c r="BZ248" s="245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45"/>
      <c r="CM248" s="245"/>
      <c r="CN248" s="245"/>
      <c r="CO248" s="245"/>
      <c r="CP248" s="245"/>
      <c r="CQ248" s="245"/>
      <c r="CR248" s="245"/>
      <c r="CS248" s="245"/>
      <c r="CT248" s="245"/>
      <c r="CU248" s="245"/>
      <c r="CV248" s="245"/>
      <c r="CW248" s="245"/>
      <c r="CX248" s="245"/>
      <c r="CY248" s="245"/>
      <c r="CZ248" s="245"/>
      <c r="DA248" s="245"/>
    </row>
    <row r="249" spans="1:105" x14ac:dyDescent="0.25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5"/>
      <c r="BM249" s="245"/>
      <c r="BN249" s="245"/>
      <c r="BO249" s="245"/>
      <c r="BP249" s="245"/>
      <c r="BQ249" s="245"/>
      <c r="BR249" s="245"/>
      <c r="BS249" s="245"/>
      <c r="BT249" s="245"/>
      <c r="BU249" s="245"/>
      <c r="BV249" s="245"/>
      <c r="BW249" s="245"/>
      <c r="BX249" s="245"/>
      <c r="BY249" s="245"/>
      <c r="BZ249" s="245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45"/>
      <c r="CM249" s="245"/>
      <c r="CN249" s="245"/>
      <c r="CO249" s="245"/>
      <c r="CP249" s="245"/>
      <c r="CQ249" s="245"/>
      <c r="CR249" s="245"/>
      <c r="CS249" s="245"/>
      <c r="CT249" s="245"/>
      <c r="CU249" s="245"/>
      <c r="CV249" s="245"/>
      <c r="CW249" s="245"/>
      <c r="CX249" s="245"/>
      <c r="CY249" s="245"/>
      <c r="CZ249" s="245"/>
      <c r="DA249" s="245"/>
    </row>
    <row r="250" spans="1:105" x14ac:dyDescent="0.25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5"/>
      <c r="BM250" s="245"/>
      <c r="BN250" s="245"/>
      <c r="BO250" s="245"/>
      <c r="BP250" s="245"/>
      <c r="BQ250" s="245"/>
      <c r="BR250" s="245"/>
      <c r="BS250" s="245"/>
      <c r="BT250" s="245"/>
      <c r="BU250" s="245"/>
      <c r="BV250" s="245"/>
      <c r="BW250" s="245"/>
      <c r="BX250" s="245"/>
      <c r="BY250" s="245"/>
      <c r="BZ250" s="245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45"/>
      <c r="CM250" s="245"/>
      <c r="CN250" s="245"/>
      <c r="CO250" s="245"/>
      <c r="CP250" s="245"/>
      <c r="CQ250" s="245"/>
      <c r="CR250" s="245"/>
      <c r="CS250" s="245"/>
      <c r="CT250" s="245"/>
      <c r="CU250" s="245"/>
      <c r="CV250" s="245"/>
      <c r="CW250" s="245"/>
      <c r="CX250" s="245"/>
      <c r="CY250" s="245"/>
      <c r="CZ250" s="245"/>
      <c r="DA250" s="245"/>
    </row>
    <row r="251" spans="1:105" x14ac:dyDescent="0.25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</row>
    <row r="252" spans="1:105" x14ac:dyDescent="0.25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</row>
    <row r="253" spans="1:105" x14ac:dyDescent="0.25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</row>
    <row r="254" spans="1:105" x14ac:dyDescent="0.25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</row>
    <row r="255" spans="1:105" x14ac:dyDescent="0.25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5"/>
      <c r="BQ255" s="245"/>
      <c r="BR255" s="245"/>
      <c r="BS255" s="245"/>
      <c r="BT255" s="245"/>
      <c r="BU255" s="245"/>
      <c r="BV255" s="245"/>
      <c r="BW255" s="245"/>
      <c r="BX255" s="245"/>
      <c r="BY255" s="245"/>
      <c r="BZ255" s="245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45"/>
      <c r="CM255" s="245"/>
      <c r="CN255" s="245"/>
      <c r="CO255" s="245"/>
      <c r="CP255" s="245"/>
      <c r="CQ255" s="245"/>
      <c r="CR255" s="245"/>
      <c r="CS255" s="245"/>
      <c r="CT255" s="245"/>
      <c r="CU255" s="245"/>
      <c r="CV255" s="245"/>
      <c r="CW255" s="245"/>
      <c r="CX255" s="245"/>
      <c r="CY255" s="245"/>
      <c r="CZ255" s="245"/>
      <c r="DA255" s="245"/>
    </row>
    <row r="256" spans="1:105" x14ac:dyDescent="0.25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5"/>
      <c r="BQ256" s="245"/>
      <c r="BR256" s="245"/>
      <c r="BS256" s="245"/>
      <c r="BT256" s="245"/>
      <c r="BU256" s="245"/>
      <c r="BV256" s="245"/>
      <c r="BW256" s="245"/>
      <c r="BX256" s="245"/>
      <c r="BY256" s="245"/>
      <c r="BZ256" s="245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45"/>
      <c r="CM256" s="245"/>
      <c r="CN256" s="245"/>
      <c r="CO256" s="245"/>
      <c r="CP256" s="245"/>
      <c r="CQ256" s="245"/>
      <c r="CR256" s="245"/>
      <c r="CS256" s="245"/>
      <c r="CT256" s="245"/>
      <c r="CU256" s="245"/>
      <c r="CV256" s="245"/>
      <c r="CW256" s="245"/>
      <c r="CX256" s="245"/>
      <c r="CY256" s="245"/>
      <c r="CZ256" s="245"/>
      <c r="DA256" s="245"/>
    </row>
    <row r="257" spans="1:105" x14ac:dyDescent="0.25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5"/>
      <c r="BQ257" s="245"/>
      <c r="BR257" s="245"/>
      <c r="BS257" s="245"/>
      <c r="BT257" s="245"/>
      <c r="BU257" s="245"/>
      <c r="BV257" s="245"/>
      <c r="BW257" s="245"/>
      <c r="BX257" s="245"/>
      <c r="BY257" s="245"/>
      <c r="BZ257" s="245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45"/>
      <c r="CM257" s="245"/>
      <c r="CN257" s="245"/>
      <c r="CO257" s="245"/>
      <c r="CP257" s="245"/>
      <c r="CQ257" s="245"/>
      <c r="CR257" s="245"/>
      <c r="CS257" s="245"/>
      <c r="CT257" s="245"/>
      <c r="CU257" s="245"/>
      <c r="CV257" s="245"/>
      <c r="CW257" s="245"/>
      <c r="CX257" s="245"/>
      <c r="CY257" s="245"/>
      <c r="CZ257" s="245"/>
      <c r="DA257" s="245"/>
    </row>
    <row r="258" spans="1:105" x14ac:dyDescent="0.25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5"/>
      <c r="BQ258" s="245"/>
      <c r="BR258" s="245"/>
      <c r="BS258" s="245"/>
      <c r="BT258" s="245"/>
      <c r="BU258" s="245"/>
      <c r="BV258" s="245"/>
      <c r="BW258" s="245"/>
      <c r="BX258" s="245"/>
      <c r="BY258" s="245"/>
      <c r="BZ258" s="245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45"/>
      <c r="CM258" s="245"/>
      <c r="CN258" s="245"/>
      <c r="CO258" s="245"/>
      <c r="CP258" s="245"/>
      <c r="CQ258" s="245"/>
      <c r="CR258" s="245"/>
      <c r="CS258" s="245"/>
      <c r="CT258" s="245"/>
      <c r="CU258" s="245"/>
      <c r="CV258" s="245"/>
      <c r="CW258" s="245"/>
      <c r="CX258" s="245"/>
      <c r="CY258" s="245"/>
      <c r="CZ258" s="245"/>
      <c r="DA258" s="245"/>
    </row>
    <row r="259" spans="1:105" x14ac:dyDescent="0.25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5"/>
      <c r="BQ259" s="245"/>
      <c r="BR259" s="245"/>
      <c r="BS259" s="245"/>
      <c r="BT259" s="245"/>
      <c r="BU259" s="245"/>
      <c r="BV259" s="245"/>
      <c r="BW259" s="245"/>
      <c r="BX259" s="245"/>
      <c r="BY259" s="245"/>
      <c r="BZ259" s="245"/>
      <c r="CA259" s="245"/>
      <c r="CB259" s="245"/>
      <c r="CC259" s="245"/>
      <c r="CD259" s="245"/>
      <c r="CE259" s="245"/>
      <c r="CF259" s="245"/>
      <c r="CG259" s="245"/>
      <c r="CH259" s="245"/>
      <c r="CI259" s="245"/>
      <c r="CJ259" s="245"/>
      <c r="CK259" s="245"/>
      <c r="CL259" s="245"/>
      <c r="CM259" s="245"/>
      <c r="CN259" s="245"/>
      <c r="CO259" s="245"/>
      <c r="CP259" s="245"/>
      <c r="CQ259" s="245"/>
      <c r="CR259" s="245"/>
      <c r="CS259" s="245"/>
      <c r="CT259" s="245"/>
      <c r="CU259" s="245"/>
      <c r="CV259" s="245"/>
      <c r="CW259" s="245"/>
      <c r="CX259" s="245"/>
      <c r="CY259" s="245"/>
      <c r="CZ259" s="245"/>
      <c r="DA259" s="245"/>
    </row>
    <row r="260" spans="1:105" x14ac:dyDescent="0.25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5"/>
      <c r="BQ260" s="245"/>
      <c r="BR260" s="245"/>
      <c r="BS260" s="245"/>
      <c r="BT260" s="245"/>
      <c r="BU260" s="245"/>
      <c r="BV260" s="245"/>
      <c r="BW260" s="245"/>
      <c r="BX260" s="245"/>
      <c r="BY260" s="245"/>
      <c r="BZ260" s="245"/>
      <c r="CA260" s="245"/>
      <c r="CB260" s="245"/>
      <c r="CC260" s="245"/>
      <c r="CD260" s="245"/>
      <c r="CE260" s="245"/>
      <c r="CF260" s="245"/>
      <c r="CG260" s="245"/>
      <c r="CH260" s="245"/>
      <c r="CI260" s="245"/>
      <c r="CJ260" s="245"/>
      <c r="CK260" s="245"/>
      <c r="CL260" s="245"/>
      <c r="CM260" s="245"/>
      <c r="CN260" s="245"/>
      <c r="CO260" s="245"/>
      <c r="CP260" s="245"/>
      <c r="CQ260" s="245"/>
      <c r="CR260" s="245"/>
      <c r="CS260" s="245"/>
      <c r="CT260" s="245"/>
      <c r="CU260" s="245"/>
      <c r="CV260" s="245"/>
      <c r="CW260" s="245"/>
      <c r="CX260" s="245"/>
      <c r="CY260" s="245"/>
      <c r="CZ260" s="245"/>
      <c r="DA260" s="245"/>
    </row>
    <row r="261" spans="1:105" x14ac:dyDescent="0.25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  <c r="CU261" s="245"/>
      <c r="CV261" s="245"/>
      <c r="CW261" s="245"/>
      <c r="CX261" s="245"/>
      <c r="CY261" s="245"/>
      <c r="CZ261" s="245"/>
      <c r="DA261" s="245"/>
    </row>
    <row r="262" spans="1:105" x14ac:dyDescent="0.25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5"/>
      <c r="BG262" s="245"/>
      <c r="BH262" s="245"/>
      <c r="BI262" s="245"/>
      <c r="BJ262" s="245"/>
      <c r="BK262" s="245"/>
      <c r="BL262" s="245"/>
      <c r="BM262" s="245"/>
      <c r="BN262" s="245"/>
      <c r="BO262" s="245"/>
      <c r="BP262" s="245"/>
      <c r="BQ262" s="245"/>
      <c r="BR262" s="245"/>
      <c r="BS262" s="245"/>
      <c r="BT262" s="245"/>
      <c r="BU262" s="245"/>
      <c r="BV262" s="245"/>
      <c r="BW262" s="245"/>
      <c r="BX262" s="245"/>
      <c r="BY262" s="245"/>
      <c r="BZ262" s="245"/>
      <c r="CA262" s="245"/>
      <c r="CB262" s="245"/>
      <c r="CC262" s="245"/>
      <c r="CD262" s="245"/>
      <c r="CE262" s="245"/>
      <c r="CF262" s="245"/>
      <c r="CG262" s="245"/>
      <c r="CH262" s="245"/>
      <c r="CI262" s="245"/>
      <c r="CJ262" s="245"/>
      <c r="CK262" s="245"/>
      <c r="CL262" s="245"/>
      <c r="CM262" s="245"/>
      <c r="CN262" s="245"/>
      <c r="CO262" s="245"/>
      <c r="CP262" s="245"/>
      <c r="CQ262" s="245"/>
      <c r="CR262" s="245"/>
      <c r="CS262" s="245"/>
      <c r="CT262" s="245"/>
      <c r="CU262" s="245"/>
      <c r="CV262" s="245"/>
      <c r="CW262" s="245"/>
      <c r="CX262" s="245"/>
      <c r="CY262" s="245"/>
      <c r="CZ262" s="245"/>
      <c r="DA262" s="245"/>
    </row>
    <row r="263" spans="1:105" x14ac:dyDescent="0.25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5"/>
      <c r="BG263" s="245"/>
      <c r="BH263" s="245"/>
      <c r="BI263" s="245"/>
      <c r="BJ263" s="245"/>
      <c r="BK263" s="245"/>
      <c r="BL263" s="245"/>
      <c r="BM263" s="245"/>
      <c r="BN263" s="245"/>
      <c r="BO263" s="245"/>
      <c r="BP263" s="245"/>
      <c r="BQ263" s="245"/>
      <c r="BR263" s="245"/>
      <c r="BS263" s="245"/>
      <c r="BT263" s="245"/>
      <c r="BU263" s="245"/>
      <c r="BV263" s="245"/>
      <c r="BW263" s="245"/>
      <c r="BX263" s="245"/>
      <c r="BY263" s="245"/>
      <c r="BZ263" s="245"/>
      <c r="CA263" s="245"/>
      <c r="CB263" s="245"/>
      <c r="CC263" s="245"/>
      <c r="CD263" s="245"/>
      <c r="CE263" s="245"/>
      <c r="CF263" s="245"/>
      <c r="CG263" s="245"/>
      <c r="CH263" s="245"/>
      <c r="CI263" s="245"/>
      <c r="CJ263" s="245"/>
      <c r="CK263" s="245"/>
      <c r="CL263" s="245"/>
      <c r="CM263" s="245"/>
      <c r="CN263" s="245"/>
      <c r="CO263" s="245"/>
      <c r="CP263" s="245"/>
      <c r="CQ263" s="245"/>
      <c r="CR263" s="245"/>
      <c r="CS263" s="245"/>
      <c r="CT263" s="245"/>
      <c r="CU263" s="245"/>
      <c r="CV263" s="245"/>
      <c r="CW263" s="245"/>
      <c r="CX263" s="245"/>
      <c r="CY263" s="245"/>
      <c r="CZ263" s="245"/>
      <c r="DA263" s="245"/>
    </row>
    <row r="264" spans="1:105" x14ac:dyDescent="0.25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5"/>
      <c r="BG264" s="245"/>
      <c r="BH264" s="245"/>
      <c r="BI264" s="245"/>
      <c r="BJ264" s="245"/>
      <c r="BK264" s="245"/>
      <c r="BL264" s="245"/>
      <c r="BM264" s="245"/>
      <c r="BN264" s="245"/>
      <c r="BO264" s="245"/>
      <c r="BP264" s="245"/>
      <c r="BQ264" s="245"/>
      <c r="BR264" s="245"/>
      <c r="BS264" s="245"/>
      <c r="BT264" s="245"/>
      <c r="BU264" s="245"/>
      <c r="BV264" s="245"/>
      <c r="BW264" s="245"/>
      <c r="BX264" s="245"/>
      <c r="BY264" s="245"/>
      <c r="BZ264" s="245"/>
      <c r="CA264" s="245"/>
      <c r="CB264" s="245"/>
      <c r="CC264" s="245"/>
      <c r="CD264" s="245"/>
      <c r="CE264" s="245"/>
      <c r="CF264" s="245"/>
      <c r="CG264" s="245"/>
      <c r="CH264" s="245"/>
      <c r="CI264" s="245"/>
      <c r="CJ264" s="245"/>
      <c r="CK264" s="245"/>
      <c r="CL264" s="245"/>
      <c r="CM264" s="245"/>
      <c r="CN264" s="245"/>
      <c r="CO264" s="245"/>
      <c r="CP264" s="245"/>
      <c r="CQ264" s="245"/>
      <c r="CR264" s="245"/>
      <c r="CS264" s="245"/>
      <c r="CT264" s="245"/>
      <c r="CU264" s="245"/>
      <c r="CV264" s="245"/>
      <c r="CW264" s="245"/>
      <c r="CX264" s="245"/>
      <c r="CY264" s="245"/>
      <c r="CZ264" s="245"/>
      <c r="DA264" s="245"/>
    </row>
    <row r="265" spans="1:105" x14ac:dyDescent="0.25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</row>
    <row r="266" spans="1:105" x14ac:dyDescent="0.25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5"/>
      <c r="BQ266" s="245"/>
      <c r="BR266" s="245"/>
      <c r="BS266" s="245"/>
      <c r="BT266" s="245"/>
      <c r="BU266" s="245"/>
      <c r="BV266" s="245"/>
      <c r="BW266" s="245"/>
      <c r="BX266" s="245"/>
      <c r="BY266" s="245"/>
      <c r="BZ266" s="245"/>
      <c r="CA266" s="245"/>
      <c r="CB266" s="245"/>
      <c r="CC266" s="245"/>
      <c r="CD266" s="245"/>
      <c r="CE266" s="245"/>
      <c r="CF266" s="245"/>
      <c r="CG266" s="245"/>
      <c r="CH266" s="245"/>
      <c r="CI266" s="245"/>
      <c r="CJ266" s="245"/>
      <c r="CK266" s="245"/>
      <c r="CL266" s="245"/>
      <c r="CM266" s="245"/>
      <c r="CN266" s="245"/>
      <c r="CO266" s="245"/>
      <c r="CP266" s="245"/>
      <c r="CQ266" s="245"/>
      <c r="CR266" s="245"/>
      <c r="CS266" s="245"/>
      <c r="CT266" s="245"/>
      <c r="CU266" s="245"/>
      <c r="CV266" s="245"/>
      <c r="CW266" s="245"/>
      <c r="CX266" s="245"/>
      <c r="CY266" s="245"/>
      <c r="CZ266" s="245"/>
      <c r="DA266" s="245"/>
    </row>
    <row r="267" spans="1:105" x14ac:dyDescent="0.25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5"/>
      <c r="BQ267" s="245"/>
      <c r="BR267" s="245"/>
      <c r="BS267" s="245"/>
      <c r="BT267" s="245"/>
      <c r="BU267" s="245"/>
      <c r="BV267" s="245"/>
      <c r="BW267" s="245"/>
      <c r="BX267" s="245"/>
      <c r="BY267" s="245"/>
      <c r="BZ267" s="245"/>
      <c r="CA267" s="245"/>
      <c r="CB267" s="245"/>
      <c r="CC267" s="245"/>
      <c r="CD267" s="245"/>
      <c r="CE267" s="245"/>
      <c r="CF267" s="245"/>
      <c r="CG267" s="245"/>
      <c r="CH267" s="245"/>
      <c r="CI267" s="245"/>
      <c r="CJ267" s="245"/>
      <c r="CK267" s="245"/>
      <c r="CL267" s="245"/>
      <c r="CM267" s="245"/>
      <c r="CN267" s="245"/>
      <c r="CO267" s="245"/>
      <c r="CP267" s="245"/>
      <c r="CQ267" s="245"/>
      <c r="CR267" s="245"/>
      <c r="CS267" s="245"/>
      <c r="CT267" s="245"/>
      <c r="CU267" s="245"/>
      <c r="CV267" s="245"/>
      <c r="CW267" s="245"/>
      <c r="CX267" s="245"/>
      <c r="CY267" s="245"/>
      <c r="CZ267" s="245"/>
      <c r="DA267" s="245"/>
    </row>
    <row r="268" spans="1:105" x14ac:dyDescent="0.25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5"/>
      <c r="BQ268" s="245"/>
      <c r="BR268" s="245"/>
      <c r="BS268" s="245"/>
      <c r="BT268" s="245"/>
      <c r="BU268" s="245"/>
      <c r="BV268" s="245"/>
      <c r="BW268" s="245"/>
      <c r="BX268" s="245"/>
      <c r="BY268" s="245"/>
      <c r="BZ268" s="245"/>
      <c r="CA268" s="245"/>
      <c r="CB268" s="245"/>
      <c r="CC268" s="245"/>
      <c r="CD268" s="245"/>
      <c r="CE268" s="245"/>
      <c r="CF268" s="245"/>
      <c r="CG268" s="245"/>
      <c r="CH268" s="245"/>
      <c r="CI268" s="245"/>
      <c r="CJ268" s="245"/>
      <c r="CK268" s="245"/>
      <c r="CL268" s="245"/>
      <c r="CM268" s="245"/>
      <c r="CN268" s="245"/>
      <c r="CO268" s="245"/>
      <c r="CP268" s="245"/>
      <c r="CQ268" s="245"/>
      <c r="CR268" s="245"/>
      <c r="CS268" s="245"/>
      <c r="CT268" s="245"/>
      <c r="CU268" s="245"/>
      <c r="CV268" s="245"/>
      <c r="CW268" s="245"/>
      <c r="CX268" s="245"/>
      <c r="CY268" s="245"/>
      <c r="CZ268" s="245"/>
      <c r="DA268" s="245"/>
    </row>
    <row r="269" spans="1:105" x14ac:dyDescent="0.25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  <c r="BC269" s="245"/>
      <c r="BD269" s="245"/>
      <c r="BE269" s="245"/>
      <c r="BF269" s="245"/>
      <c r="BG269" s="245"/>
      <c r="BH269" s="245"/>
      <c r="BI269" s="245"/>
      <c r="BJ269" s="245"/>
      <c r="BK269" s="245"/>
      <c r="BL269" s="245"/>
      <c r="BM269" s="245"/>
      <c r="BN269" s="245"/>
      <c r="BO269" s="245"/>
      <c r="BP269" s="245"/>
      <c r="BQ269" s="245"/>
      <c r="BR269" s="245"/>
      <c r="BS269" s="245"/>
      <c r="BT269" s="245"/>
      <c r="BU269" s="245"/>
      <c r="BV269" s="245"/>
      <c r="BW269" s="245"/>
      <c r="BX269" s="245"/>
      <c r="BY269" s="245"/>
      <c r="BZ269" s="245"/>
      <c r="CA269" s="245"/>
      <c r="CB269" s="245"/>
      <c r="CC269" s="245"/>
      <c r="CD269" s="245"/>
      <c r="CE269" s="245"/>
      <c r="CF269" s="245"/>
      <c r="CG269" s="245"/>
      <c r="CH269" s="245"/>
      <c r="CI269" s="245"/>
      <c r="CJ269" s="245"/>
      <c r="CK269" s="245"/>
      <c r="CL269" s="245"/>
      <c r="CM269" s="245"/>
      <c r="CN269" s="245"/>
      <c r="CO269" s="245"/>
      <c r="CP269" s="245"/>
      <c r="CQ269" s="245"/>
      <c r="CR269" s="245"/>
      <c r="CS269" s="245"/>
      <c r="CT269" s="245"/>
      <c r="CU269" s="245"/>
      <c r="CV269" s="245"/>
      <c r="CW269" s="245"/>
      <c r="CX269" s="245"/>
      <c r="CY269" s="245"/>
      <c r="CZ269" s="245"/>
      <c r="DA269" s="245"/>
    </row>
    <row r="270" spans="1:105" x14ac:dyDescent="0.25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  <c r="BC270" s="245"/>
      <c r="BD270" s="245"/>
      <c r="BE270" s="245"/>
      <c r="BF270" s="245"/>
      <c r="BG270" s="245"/>
      <c r="BH270" s="245"/>
      <c r="BI270" s="245"/>
      <c r="BJ270" s="245"/>
      <c r="BK270" s="245"/>
      <c r="BL270" s="245"/>
      <c r="BM270" s="245"/>
      <c r="BN270" s="245"/>
      <c r="BO270" s="245"/>
      <c r="BP270" s="245"/>
      <c r="BQ270" s="245"/>
      <c r="BR270" s="245"/>
      <c r="BS270" s="245"/>
      <c r="BT270" s="245"/>
      <c r="BU270" s="245"/>
      <c r="BV270" s="245"/>
      <c r="BW270" s="245"/>
      <c r="BX270" s="245"/>
      <c r="BY270" s="245"/>
      <c r="BZ270" s="245"/>
      <c r="CA270" s="245"/>
      <c r="CB270" s="245"/>
      <c r="CC270" s="245"/>
      <c r="CD270" s="245"/>
      <c r="CE270" s="245"/>
      <c r="CF270" s="245"/>
      <c r="CG270" s="245"/>
      <c r="CH270" s="245"/>
      <c r="CI270" s="245"/>
      <c r="CJ270" s="245"/>
      <c r="CK270" s="245"/>
      <c r="CL270" s="245"/>
      <c r="CM270" s="245"/>
      <c r="CN270" s="245"/>
      <c r="CO270" s="245"/>
      <c r="CP270" s="245"/>
      <c r="CQ270" s="245"/>
      <c r="CR270" s="245"/>
      <c r="CS270" s="245"/>
      <c r="CT270" s="245"/>
      <c r="CU270" s="245"/>
      <c r="CV270" s="245"/>
      <c r="CW270" s="245"/>
      <c r="CX270" s="245"/>
      <c r="CY270" s="245"/>
      <c r="CZ270" s="245"/>
      <c r="DA270" s="245"/>
    </row>
    <row r="271" spans="1:105" x14ac:dyDescent="0.25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  <c r="BC271" s="245"/>
      <c r="BD271" s="245"/>
      <c r="BE271" s="245"/>
      <c r="BF271" s="245"/>
      <c r="BG271" s="245"/>
      <c r="BH271" s="245"/>
      <c r="BI271" s="245"/>
      <c r="BJ271" s="245"/>
      <c r="BK271" s="245"/>
      <c r="BL271" s="245"/>
      <c r="BM271" s="245"/>
      <c r="BN271" s="245"/>
      <c r="BO271" s="245"/>
      <c r="BP271" s="245"/>
      <c r="BQ271" s="245"/>
      <c r="BR271" s="245"/>
      <c r="BS271" s="245"/>
      <c r="BT271" s="245"/>
      <c r="BU271" s="245"/>
      <c r="BV271" s="245"/>
      <c r="BW271" s="245"/>
      <c r="BX271" s="245"/>
      <c r="BY271" s="245"/>
      <c r="BZ271" s="245"/>
      <c r="CA271" s="245"/>
      <c r="CB271" s="245"/>
      <c r="CC271" s="245"/>
      <c r="CD271" s="245"/>
      <c r="CE271" s="245"/>
      <c r="CF271" s="245"/>
      <c r="CG271" s="245"/>
      <c r="CH271" s="245"/>
      <c r="CI271" s="245"/>
      <c r="CJ271" s="245"/>
      <c r="CK271" s="245"/>
      <c r="CL271" s="245"/>
      <c r="CM271" s="245"/>
      <c r="CN271" s="245"/>
      <c r="CO271" s="245"/>
      <c r="CP271" s="245"/>
      <c r="CQ271" s="245"/>
      <c r="CR271" s="245"/>
      <c r="CS271" s="245"/>
      <c r="CT271" s="245"/>
      <c r="CU271" s="245"/>
      <c r="CV271" s="245"/>
      <c r="CW271" s="245"/>
      <c r="CX271" s="245"/>
      <c r="CY271" s="245"/>
      <c r="CZ271" s="245"/>
      <c r="DA271" s="245"/>
    </row>
    <row r="272" spans="1:105" x14ac:dyDescent="0.25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  <c r="BC272" s="245"/>
      <c r="BD272" s="245"/>
      <c r="BE272" s="245"/>
      <c r="BF272" s="245"/>
      <c r="BG272" s="245"/>
      <c r="BH272" s="245"/>
      <c r="BI272" s="245"/>
      <c r="BJ272" s="245"/>
      <c r="BK272" s="245"/>
      <c r="BL272" s="245"/>
      <c r="BM272" s="245"/>
      <c r="BN272" s="245"/>
      <c r="BO272" s="245"/>
      <c r="BP272" s="245"/>
      <c r="BQ272" s="245"/>
      <c r="BR272" s="245"/>
      <c r="BS272" s="245"/>
      <c r="BT272" s="245"/>
      <c r="BU272" s="245"/>
      <c r="BV272" s="245"/>
      <c r="BW272" s="245"/>
      <c r="BX272" s="245"/>
      <c r="BY272" s="245"/>
      <c r="BZ272" s="245"/>
      <c r="CA272" s="245"/>
      <c r="CB272" s="245"/>
      <c r="CC272" s="245"/>
      <c r="CD272" s="245"/>
      <c r="CE272" s="245"/>
      <c r="CF272" s="245"/>
      <c r="CG272" s="245"/>
      <c r="CH272" s="245"/>
      <c r="CI272" s="245"/>
      <c r="CJ272" s="245"/>
      <c r="CK272" s="245"/>
      <c r="CL272" s="245"/>
      <c r="CM272" s="245"/>
      <c r="CN272" s="245"/>
      <c r="CO272" s="245"/>
      <c r="CP272" s="245"/>
      <c r="CQ272" s="245"/>
      <c r="CR272" s="245"/>
      <c r="CS272" s="245"/>
      <c r="CT272" s="245"/>
      <c r="CU272" s="245"/>
      <c r="CV272" s="245"/>
      <c r="CW272" s="245"/>
      <c r="CX272" s="245"/>
      <c r="CY272" s="245"/>
      <c r="CZ272" s="245"/>
      <c r="DA272" s="245"/>
    </row>
    <row r="273" spans="1:105" x14ac:dyDescent="0.25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</row>
    <row r="274" spans="1:105" x14ac:dyDescent="0.25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  <c r="BC274" s="245"/>
      <c r="BD274" s="245"/>
      <c r="BE274" s="245"/>
      <c r="BF274" s="245"/>
      <c r="BG274" s="245"/>
      <c r="BH274" s="245"/>
      <c r="BI274" s="245"/>
      <c r="BJ274" s="245"/>
      <c r="BK274" s="245"/>
      <c r="BL274" s="245"/>
      <c r="BM274" s="245"/>
      <c r="BN274" s="245"/>
      <c r="BO274" s="245"/>
      <c r="BP274" s="245"/>
      <c r="BQ274" s="245"/>
      <c r="BR274" s="245"/>
      <c r="BS274" s="245"/>
      <c r="BT274" s="245"/>
      <c r="BU274" s="245"/>
      <c r="BV274" s="245"/>
      <c r="BW274" s="245"/>
      <c r="BX274" s="245"/>
      <c r="BY274" s="245"/>
      <c r="BZ274" s="245"/>
      <c r="CA274" s="245"/>
      <c r="CB274" s="245"/>
      <c r="CC274" s="245"/>
      <c r="CD274" s="245"/>
      <c r="CE274" s="245"/>
      <c r="CF274" s="245"/>
      <c r="CG274" s="245"/>
      <c r="CH274" s="245"/>
      <c r="CI274" s="245"/>
      <c r="CJ274" s="245"/>
      <c r="CK274" s="245"/>
      <c r="CL274" s="245"/>
      <c r="CM274" s="245"/>
      <c r="CN274" s="245"/>
      <c r="CO274" s="245"/>
      <c r="CP274" s="245"/>
      <c r="CQ274" s="245"/>
      <c r="CR274" s="245"/>
      <c r="CS274" s="245"/>
      <c r="CT274" s="245"/>
      <c r="CU274" s="245"/>
      <c r="CV274" s="245"/>
      <c r="CW274" s="245"/>
      <c r="CX274" s="245"/>
      <c r="CY274" s="245"/>
      <c r="CZ274" s="245"/>
      <c r="DA274" s="245"/>
    </row>
    <row r="275" spans="1:105" x14ac:dyDescent="0.25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  <c r="BC275" s="245"/>
      <c r="BD275" s="245"/>
      <c r="BE275" s="245"/>
      <c r="BF275" s="245"/>
      <c r="BG275" s="245"/>
      <c r="BH275" s="245"/>
      <c r="BI275" s="245"/>
      <c r="BJ275" s="245"/>
      <c r="BK275" s="245"/>
      <c r="BL275" s="245"/>
      <c r="BM275" s="245"/>
      <c r="BN275" s="245"/>
      <c r="BO275" s="245"/>
      <c r="BP275" s="245"/>
      <c r="BQ275" s="245"/>
      <c r="BR275" s="245"/>
      <c r="BS275" s="245"/>
      <c r="BT275" s="245"/>
      <c r="BU275" s="245"/>
      <c r="BV275" s="245"/>
      <c r="BW275" s="245"/>
      <c r="BX275" s="245"/>
      <c r="BY275" s="245"/>
      <c r="BZ275" s="245"/>
      <c r="CA275" s="245"/>
      <c r="CB275" s="245"/>
      <c r="CC275" s="245"/>
      <c r="CD275" s="245"/>
      <c r="CE275" s="245"/>
      <c r="CF275" s="245"/>
      <c r="CG275" s="245"/>
      <c r="CH275" s="245"/>
      <c r="CI275" s="245"/>
      <c r="CJ275" s="245"/>
      <c r="CK275" s="245"/>
      <c r="CL275" s="245"/>
      <c r="CM275" s="245"/>
      <c r="CN275" s="245"/>
      <c r="CO275" s="245"/>
      <c r="CP275" s="245"/>
      <c r="CQ275" s="245"/>
      <c r="CR275" s="245"/>
      <c r="CS275" s="245"/>
      <c r="CT275" s="245"/>
      <c r="CU275" s="245"/>
      <c r="CV275" s="245"/>
      <c r="CW275" s="245"/>
      <c r="CX275" s="245"/>
      <c r="CY275" s="245"/>
      <c r="CZ275" s="245"/>
      <c r="DA275" s="245"/>
    </row>
    <row r="276" spans="1:105" x14ac:dyDescent="0.25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  <c r="BC276" s="245"/>
      <c r="BD276" s="245"/>
      <c r="BE276" s="245"/>
      <c r="BF276" s="245"/>
      <c r="BG276" s="245"/>
      <c r="BH276" s="245"/>
      <c r="BI276" s="245"/>
      <c r="BJ276" s="245"/>
      <c r="BK276" s="245"/>
      <c r="BL276" s="245"/>
      <c r="BM276" s="245"/>
      <c r="BN276" s="245"/>
      <c r="BO276" s="245"/>
      <c r="BP276" s="245"/>
      <c r="BQ276" s="245"/>
      <c r="BR276" s="245"/>
      <c r="BS276" s="245"/>
      <c r="BT276" s="245"/>
      <c r="BU276" s="245"/>
      <c r="BV276" s="245"/>
      <c r="BW276" s="245"/>
      <c r="BX276" s="245"/>
      <c r="BY276" s="245"/>
      <c r="BZ276" s="245"/>
      <c r="CA276" s="245"/>
      <c r="CB276" s="245"/>
      <c r="CC276" s="245"/>
      <c r="CD276" s="245"/>
      <c r="CE276" s="245"/>
      <c r="CF276" s="245"/>
      <c r="CG276" s="245"/>
      <c r="CH276" s="245"/>
      <c r="CI276" s="245"/>
      <c r="CJ276" s="245"/>
      <c r="CK276" s="245"/>
      <c r="CL276" s="245"/>
      <c r="CM276" s="245"/>
      <c r="CN276" s="245"/>
      <c r="CO276" s="245"/>
      <c r="CP276" s="245"/>
      <c r="CQ276" s="245"/>
      <c r="CR276" s="245"/>
      <c r="CS276" s="245"/>
      <c r="CT276" s="245"/>
      <c r="CU276" s="245"/>
      <c r="CV276" s="245"/>
      <c r="CW276" s="245"/>
      <c r="CX276" s="245"/>
      <c r="CY276" s="245"/>
      <c r="CZ276" s="245"/>
      <c r="DA276" s="245"/>
    </row>
    <row r="277" spans="1:105" x14ac:dyDescent="0.25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  <c r="BC277" s="245"/>
      <c r="BD277" s="245"/>
      <c r="BE277" s="245"/>
      <c r="BF277" s="245"/>
      <c r="BG277" s="245"/>
      <c r="BH277" s="245"/>
      <c r="BI277" s="245"/>
      <c r="BJ277" s="245"/>
      <c r="BK277" s="245"/>
      <c r="BL277" s="245"/>
      <c r="BM277" s="245"/>
      <c r="BN277" s="245"/>
      <c r="BO277" s="245"/>
      <c r="BP277" s="245"/>
      <c r="BQ277" s="245"/>
      <c r="BR277" s="245"/>
      <c r="BS277" s="245"/>
      <c r="BT277" s="245"/>
      <c r="BU277" s="245"/>
      <c r="BV277" s="245"/>
      <c r="BW277" s="245"/>
      <c r="BX277" s="245"/>
      <c r="BY277" s="245"/>
      <c r="BZ277" s="245"/>
      <c r="CA277" s="245"/>
      <c r="CB277" s="245"/>
      <c r="CC277" s="245"/>
      <c r="CD277" s="245"/>
      <c r="CE277" s="245"/>
      <c r="CF277" s="245"/>
      <c r="CG277" s="245"/>
      <c r="CH277" s="245"/>
      <c r="CI277" s="245"/>
      <c r="CJ277" s="245"/>
      <c r="CK277" s="245"/>
      <c r="CL277" s="245"/>
      <c r="CM277" s="245"/>
      <c r="CN277" s="245"/>
      <c r="CO277" s="245"/>
      <c r="CP277" s="245"/>
      <c r="CQ277" s="245"/>
      <c r="CR277" s="245"/>
      <c r="CS277" s="245"/>
      <c r="CT277" s="245"/>
      <c r="CU277" s="245"/>
      <c r="CV277" s="245"/>
      <c r="CW277" s="245"/>
      <c r="CX277" s="245"/>
      <c r="CY277" s="245"/>
      <c r="CZ277" s="245"/>
      <c r="DA277" s="245"/>
    </row>
    <row r="278" spans="1:105" x14ac:dyDescent="0.25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  <c r="BC278" s="245"/>
      <c r="BD278" s="245"/>
      <c r="BE278" s="245"/>
      <c r="BF278" s="245"/>
      <c r="BG278" s="245"/>
      <c r="BH278" s="245"/>
      <c r="BI278" s="245"/>
      <c r="BJ278" s="245"/>
      <c r="BK278" s="245"/>
      <c r="BL278" s="245"/>
      <c r="BM278" s="245"/>
      <c r="BN278" s="245"/>
      <c r="BO278" s="245"/>
      <c r="BP278" s="245"/>
      <c r="BQ278" s="245"/>
      <c r="BR278" s="245"/>
      <c r="BS278" s="245"/>
      <c r="BT278" s="245"/>
      <c r="BU278" s="245"/>
      <c r="BV278" s="245"/>
      <c r="BW278" s="245"/>
      <c r="BX278" s="245"/>
      <c r="BY278" s="245"/>
      <c r="BZ278" s="245"/>
      <c r="CA278" s="245"/>
      <c r="CB278" s="245"/>
      <c r="CC278" s="245"/>
      <c r="CD278" s="245"/>
      <c r="CE278" s="245"/>
      <c r="CF278" s="245"/>
      <c r="CG278" s="245"/>
      <c r="CH278" s="245"/>
      <c r="CI278" s="245"/>
      <c r="CJ278" s="245"/>
      <c r="CK278" s="245"/>
      <c r="CL278" s="245"/>
      <c r="CM278" s="245"/>
      <c r="CN278" s="245"/>
      <c r="CO278" s="245"/>
      <c r="CP278" s="245"/>
      <c r="CQ278" s="245"/>
      <c r="CR278" s="245"/>
      <c r="CS278" s="245"/>
      <c r="CT278" s="245"/>
      <c r="CU278" s="245"/>
      <c r="CV278" s="245"/>
      <c r="CW278" s="245"/>
      <c r="CX278" s="245"/>
      <c r="CY278" s="245"/>
      <c r="CZ278" s="245"/>
      <c r="DA278" s="245"/>
    </row>
    <row r="279" spans="1:105" x14ac:dyDescent="0.25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  <c r="BC279" s="245"/>
      <c r="BD279" s="245"/>
      <c r="BE279" s="245"/>
      <c r="BF279" s="245"/>
      <c r="BG279" s="245"/>
      <c r="BH279" s="245"/>
      <c r="BI279" s="245"/>
      <c r="BJ279" s="245"/>
      <c r="BK279" s="245"/>
      <c r="BL279" s="245"/>
      <c r="BM279" s="245"/>
      <c r="BN279" s="245"/>
      <c r="BO279" s="245"/>
      <c r="BP279" s="245"/>
      <c r="BQ279" s="245"/>
      <c r="BR279" s="245"/>
      <c r="BS279" s="245"/>
      <c r="BT279" s="245"/>
      <c r="BU279" s="245"/>
      <c r="BV279" s="245"/>
      <c r="BW279" s="245"/>
      <c r="BX279" s="245"/>
      <c r="BY279" s="245"/>
      <c r="BZ279" s="245"/>
      <c r="CA279" s="245"/>
      <c r="CB279" s="245"/>
      <c r="CC279" s="245"/>
      <c r="CD279" s="245"/>
      <c r="CE279" s="245"/>
      <c r="CF279" s="245"/>
      <c r="CG279" s="245"/>
      <c r="CH279" s="245"/>
      <c r="CI279" s="245"/>
      <c r="CJ279" s="245"/>
      <c r="CK279" s="245"/>
      <c r="CL279" s="245"/>
      <c r="CM279" s="245"/>
      <c r="CN279" s="245"/>
      <c r="CO279" s="245"/>
      <c r="CP279" s="245"/>
      <c r="CQ279" s="245"/>
      <c r="CR279" s="245"/>
      <c r="CS279" s="245"/>
      <c r="CT279" s="245"/>
      <c r="CU279" s="245"/>
      <c r="CV279" s="245"/>
      <c r="CW279" s="245"/>
      <c r="CX279" s="245"/>
      <c r="CY279" s="245"/>
      <c r="CZ279" s="245"/>
      <c r="DA279" s="245"/>
    </row>
    <row r="280" spans="1:105" x14ac:dyDescent="0.25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  <c r="BC280" s="245"/>
      <c r="BD280" s="245"/>
      <c r="BE280" s="245"/>
      <c r="BF280" s="245"/>
      <c r="BG280" s="245"/>
      <c r="BH280" s="245"/>
      <c r="BI280" s="245"/>
      <c r="BJ280" s="245"/>
      <c r="BK280" s="245"/>
      <c r="BL280" s="245"/>
      <c r="BM280" s="245"/>
      <c r="BN280" s="245"/>
      <c r="BO280" s="245"/>
      <c r="BP280" s="245"/>
      <c r="BQ280" s="245"/>
      <c r="BR280" s="245"/>
      <c r="BS280" s="245"/>
      <c r="BT280" s="245"/>
      <c r="BU280" s="245"/>
      <c r="BV280" s="245"/>
      <c r="BW280" s="245"/>
      <c r="BX280" s="245"/>
      <c r="BY280" s="245"/>
      <c r="BZ280" s="245"/>
      <c r="CA280" s="245"/>
      <c r="CB280" s="245"/>
      <c r="CC280" s="245"/>
      <c r="CD280" s="245"/>
      <c r="CE280" s="245"/>
      <c r="CF280" s="245"/>
      <c r="CG280" s="245"/>
      <c r="CH280" s="245"/>
      <c r="CI280" s="245"/>
      <c r="CJ280" s="245"/>
      <c r="CK280" s="245"/>
      <c r="CL280" s="245"/>
      <c r="CM280" s="245"/>
      <c r="CN280" s="245"/>
      <c r="CO280" s="245"/>
      <c r="CP280" s="245"/>
      <c r="CQ280" s="245"/>
      <c r="CR280" s="245"/>
      <c r="CS280" s="245"/>
      <c r="CT280" s="245"/>
      <c r="CU280" s="245"/>
      <c r="CV280" s="245"/>
      <c r="CW280" s="245"/>
      <c r="CX280" s="245"/>
      <c r="CY280" s="245"/>
      <c r="CZ280" s="245"/>
      <c r="DA280" s="245"/>
    </row>
    <row r="281" spans="1:105" x14ac:dyDescent="0.25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  <c r="BC281" s="245"/>
      <c r="BD281" s="245"/>
      <c r="BE281" s="245"/>
      <c r="BF281" s="245"/>
      <c r="BG281" s="245"/>
      <c r="BH281" s="245"/>
      <c r="BI281" s="245"/>
      <c r="BJ281" s="245"/>
      <c r="BK281" s="245"/>
      <c r="BL281" s="245"/>
      <c r="BM281" s="245"/>
      <c r="BN281" s="245"/>
      <c r="BO281" s="245"/>
      <c r="BP281" s="245"/>
      <c r="BQ281" s="245"/>
      <c r="BR281" s="245"/>
      <c r="BS281" s="245"/>
      <c r="BT281" s="245"/>
      <c r="BU281" s="245"/>
      <c r="BV281" s="245"/>
      <c r="BW281" s="245"/>
      <c r="BX281" s="245"/>
      <c r="BY281" s="245"/>
      <c r="BZ281" s="245"/>
      <c r="CA281" s="245"/>
      <c r="CB281" s="245"/>
      <c r="CC281" s="245"/>
      <c r="CD281" s="245"/>
      <c r="CE281" s="245"/>
      <c r="CF281" s="245"/>
      <c r="CG281" s="245"/>
      <c r="CH281" s="245"/>
      <c r="CI281" s="245"/>
      <c r="CJ281" s="245"/>
      <c r="CK281" s="245"/>
      <c r="CL281" s="245"/>
      <c r="CM281" s="245"/>
      <c r="CN281" s="245"/>
      <c r="CO281" s="245"/>
      <c r="CP281" s="245"/>
      <c r="CQ281" s="245"/>
      <c r="CR281" s="245"/>
      <c r="CS281" s="245"/>
      <c r="CT281" s="245"/>
      <c r="CU281" s="245"/>
      <c r="CV281" s="245"/>
      <c r="CW281" s="245"/>
      <c r="CX281" s="245"/>
      <c r="CY281" s="245"/>
      <c r="CZ281" s="245"/>
      <c r="DA281" s="245"/>
    </row>
    <row r="282" spans="1:105" x14ac:dyDescent="0.25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  <c r="BC282" s="245"/>
      <c r="BD282" s="245"/>
      <c r="BE282" s="245"/>
      <c r="BF282" s="245"/>
      <c r="BG282" s="245"/>
      <c r="BH282" s="245"/>
      <c r="BI282" s="245"/>
      <c r="BJ282" s="245"/>
      <c r="BK282" s="245"/>
      <c r="BL282" s="245"/>
      <c r="BM282" s="245"/>
      <c r="BN282" s="245"/>
      <c r="BO282" s="245"/>
      <c r="BP282" s="245"/>
      <c r="BQ282" s="245"/>
      <c r="BR282" s="245"/>
      <c r="BS282" s="245"/>
      <c r="BT282" s="245"/>
      <c r="BU282" s="245"/>
      <c r="BV282" s="245"/>
      <c r="BW282" s="245"/>
      <c r="BX282" s="245"/>
      <c r="BY282" s="245"/>
      <c r="BZ282" s="245"/>
      <c r="CA282" s="245"/>
      <c r="CB282" s="245"/>
      <c r="CC282" s="245"/>
      <c r="CD282" s="245"/>
      <c r="CE282" s="245"/>
      <c r="CF282" s="245"/>
      <c r="CG282" s="245"/>
      <c r="CH282" s="245"/>
      <c r="CI282" s="245"/>
      <c r="CJ282" s="245"/>
      <c r="CK282" s="245"/>
      <c r="CL282" s="245"/>
      <c r="CM282" s="245"/>
      <c r="CN282" s="245"/>
      <c r="CO282" s="245"/>
      <c r="CP282" s="245"/>
      <c r="CQ282" s="245"/>
      <c r="CR282" s="245"/>
      <c r="CS282" s="245"/>
      <c r="CT282" s="245"/>
      <c r="CU282" s="245"/>
      <c r="CV282" s="245"/>
      <c r="CW282" s="245"/>
      <c r="CX282" s="245"/>
      <c r="CY282" s="245"/>
      <c r="CZ282" s="245"/>
      <c r="DA282" s="245"/>
    </row>
    <row r="283" spans="1:105" x14ac:dyDescent="0.25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  <c r="CU283" s="245"/>
      <c r="CV283" s="245"/>
      <c r="CW283" s="245"/>
      <c r="CX283" s="245"/>
      <c r="CY283" s="245"/>
      <c r="CZ283" s="245"/>
      <c r="DA283" s="245"/>
    </row>
    <row r="284" spans="1:105" x14ac:dyDescent="0.25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  <c r="CU284" s="245"/>
      <c r="CV284" s="245"/>
      <c r="CW284" s="245"/>
      <c r="CX284" s="245"/>
      <c r="CY284" s="245"/>
      <c r="CZ284" s="245"/>
      <c r="DA284" s="245"/>
    </row>
  </sheetData>
  <sheetProtection password="CAF3" sheet="1" objects="1" scenarios="1" selectLockedCells="1"/>
  <pageMargins left="0.23622047244094491" right="0.23622047244094491" top="0.15748031496062992" bottom="0.15748031496062992" header="0.31496062992125984" footer="0.31496062992125984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7"/>
  <sheetViews>
    <sheetView workbookViewId="0">
      <selection activeCell="C7" sqref="C7"/>
    </sheetView>
  </sheetViews>
  <sheetFormatPr defaultColWidth="9.125" defaultRowHeight="12.75" x14ac:dyDescent="0.2"/>
  <cols>
    <col min="1" max="1" width="33" style="29" bestFit="1" customWidth="1"/>
    <col min="2" max="2" width="4" style="29" customWidth="1"/>
    <col min="3" max="3" width="12.75" style="29" bestFit="1" customWidth="1"/>
    <col min="4" max="5" width="11.625" style="29" bestFit="1" customWidth="1"/>
    <col min="6" max="6" width="12.75" style="29" bestFit="1" customWidth="1"/>
    <col min="7" max="9" width="11.625" style="29" bestFit="1" customWidth="1"/>
    <col min="10" max="10" width="12.75" style="29" bestFit="1" customWidth="1"/>
    <col min="11" max="16384" width="9.125" style="29"/>
  </cols>
  <sheetData>
    <row r="1" spans="1:13" ht="15.75" x14ac:dyDescent="0.25">
      <c r="A1" s="325" t="s">
        <v>95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3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1:13" ht="15.75" x14ac:dyDescent="0.25">
      <c r="A3" s="325" t="s">
        <v>96</v>
      </c>
      <c r="B3" s="326"/>
      <c r="C3" s="327" t="s">
        <v>264</v>
      </c>
      <c r="D3" s="328"/>
      <c r="E3" s="328"/>
      <c r="F3" s="328"/>
      <c r="G3" s="326"/>
      <c r="H3" s="326"/>
      <c r="I3" s="326"/>
      <c r="J3" s="326"/>
      <c r="K3" s="326"/>
    </row>
    <row r="4" spans="1:13" ht="15.75" x14ac:dyDescent="0.25">
      <c r="A4" s="325"/>
      <c r="B4" s="326"/>
      <c r="C4" s="326"/>
      <c r="D4" s="326"/>
      <c r="E4" s="326"/>
      <c r="F4" s="326"/>
      <c r="G4" s="326"/>
      <c r="H4" s="326"/>
      <c r="I4" s="326"/>
      <c r="J4" s="326"/>
      <c r="K4" s="326"/>
    </row>
    <row r="5" spans="1:13" x14ac:dyDescent="0.2">
      <c r="A5" s="35"/>
      <c r="B5" s="35"/>
      <c r="C5" s="36" t="s">
        <v>74</v>
      </c>
      <c r="D5" s="36" t="s">
        <v>75</v>
      </c>
      <c r="E5" s="36" t="s">
        <v>76</v>
      </c>
      <c r="F5" s="36" t="s">
        <v>77</v>
      </c>
      <c r="G5" s="36" t="s">
        <v>78</v>
      </c>
      <c r="H5" s="36" t="s">
        <v>79</v>
      </c>
      <c r="I5" s="36" t="s">
        <v>80</v>
      </c>
      <c r="J5" s="36" t="s">
        <v>81</v>
      </c>
      <c r="K5" s="35"/>
    </row>
    <row r="6" spans="1:13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3" x14ac:dyDescent="0.2">
      <c r="A7" s="35" t="s">
        <v>58</v>
      </c>
      <c r="B7" s="35"/>
      <c r="C7" s="239">
        <v>50</v>
      </c>
      <c r="D7" s="239">
        <v>67</v>
      </c>
      <c r="E7" s="239">
        <v>65</v>
      </c>
      <c r="F7" s="239">
        <v>33</v>
      </c>
      <c r="G7" s="239">
        <v>82</v>
      </c>
      <c r="H7" s="239">
        <v>101</v>
      </c>
      <c r="I7" s="239">
        <v>104</v>
      </c>
      <c r="J7" s="239">
        <v>110</v>
      </c>
      <c r="K7" s="35"/>
      <c r="M7" s="38"/>
    </row>
    <row r="8" spans="1:13" x14ac:dyDescent="0.2">
      <c r="A8" s="35" t="s">
        <v>218</v>
      </c>
      <c r="B8" s="35"/>
      <c r="C8" s="240">
        <v>2865</v>
      </c>
      <c r="D8" s="240">
        <v>2865</v>
      </c>
      <c r="E8" s="240">
        <v>2865</v>
      </c>
      <c r="F8" s="240">
        <v>2865</v>
      </c>
      <c r="G8" s="240">
        <v>2865</v>
      </c>
      <c r="H8" s="240">
        <v>2865</v>
      </c>
      <c r="I8" s="240">
        <v>2865</v>
      </c>
      <c r="J8" s="240">
        <v>2865</v>
      </c>
      <c r="K8" s="35"/>
      <c r="M8" s="112"/>
    </row>
    <row r="9" spans="1:13" x14ac:dyDescent="0.2">
      <c r="A9" s="35" t="s">
        <v>2</v>
      </c>
      <c r="B9" s="35"/>
      <c r="C9" s="241">
        <v>0.06</v>
      </c>
      <c r="D9" s="241">
        <v>0.15</v>
      </c>
      <c r="E9" s="241">
        <v>0.12</v>
      </c>
      <c r="F9" s="241">
        <v>0.12</v>
      </c>
      <c r="G9" s="241">
        <v>0.25</v>
      </c>
      <c r="H9" s="241">
        <v>0.2</v>
      </c>
      <c r="I9" s="241">
        <v>0.3</v>
      </c>
      <c r="J9" s="241">
        <v>0.25</v>
      </c>
      <c r="K9" s="35"/>
      <c r="M9" s="236"/>
    </row>
    <row r="10" spans="1:13" x14ac:dyDescent="0.2">
      <c r="A10" s="35" t="s">
        <v>89</v>
      </c>
      <c r="B10" s="35"/>
      <c r="C10" s="241">
        <v>0.18</v>
      </c>
      <c r="D10" s="241">
        <v>0.21</v>
      </c>
      <c r="E10" s="241">
        <v>0.19</v>
      </c>
      <c r="F10" s="241">
        <v>0.26</v>
      </c>
      <c r="G10" s="241">
        <v>0.3</v>
      </c>
      <c r="H10" s="241">
        <v>0.43</v>
      </c>
      <c r="I10" s="241">
        <v>0.33</v>
      </c>
      <c r="J10" s="241">
        <v>0.15</v>
      </c>
      <c r="K10" s="35"/>
      <c r="M10" s="236"/>
    </row>
    <row r="11" spans="1:13" x14ac:dyDescent="0.2">
      <c r="A11" s="35" t="s">
        <v>86</v>
      </c>
      <c r="B11" s="35"/>
      <c r="C11" s="241">
        <v>0.02</v>
      </c>
      <c r="D11" s="241">
        <v>0.05</v>
      </c>
      <c r="E11" s="241">
        <v>0.06</v>
      </c>
      <c r="F11" s="241">
        <v>0.04</v>
      </c>
      <c r="G11" s="241">
        <v>0.04</v>
      </c>
      <c r="H11" s="241">
        <v>0.02</v>
      </c>
      <c r="I11" s="241">
        <v>0.02</v>
      </c>
      <c r="J11" s="241">
        <v>0.08</v>
      </c>
      <c r="K11" s="35"/>
      <c r="M11" s="236"/>
    </row>
    <row r="12" spans="1:13" x14ac:dyDescent="0.2">
      <c r="A12" s="35" t="s">
        <v>88</v>
      </c>
      <c r="B12" s="35"/>
      <c r="C12" s="242">
        <v>0.31340000000000001</v>
      </c>
      <c r="D12" s="242">
        <v>0.18379999999999999</v>
      </c>
      <c r="E12" s="242">
        <v>0.35070000000000001</v>
      </c>
      <c r="F12" s="242">
        <v>0.3271</v>
      </c>
      <c r="G12" s="242">
        <v>0.33</v>
      </c>
      <c r="H12" s="242">
        <v>0.18379999999999999</v>
      </c>
      <c r="I12" s="242">
        <v>0.35070000000000001</v>
      </c>
      <c r="J12" s="242">
        <v>0.3271</v>
      </c>
      <c r="K12" s="35"/>
      <c r="M12" s="237"/>
    </row>
    <row r="13" spans="1:13" x14ac:dyDescent="0.2">
      <c r="A13" s="35" t="s">
        <v>4</v>
      </c>
      <c r="B13" s="35"/>
      <c r="C13" s="240">
        <v>111026</v>
      </c>
      <c r="D13" s="243">
        <v>111026</v>
      </c>
      <c r="E13" s="243">
        <v>111026</v>
      </c>
      <c r="F13" s="243">
        <v>111026</v>
      </c>
      <c r="G13" s="243">
        <v>111026</v>
      </c>
      <c r="H13" s="243">
        <v>111026</v>
      </c>
      <c r="I13" s="243">
        <v>111026</v>
      </c>
      <c r="J13" s="243">
        <v>111026</v>
      </c>
      <c r="K13" s="35"/>
      <c r="M13" s="41"/>
    </row>
    <row r="14" spans="1:13" x14ac:dyDescent="0.2">
      <c r="A14" s="35" t="s">
        <v>14</v>
      </c>
      <c r="B14" s="35"/>
      <c r="C14" s="240">
        <v>5880</v>
      </c>
      <c r="D14" s="240">
        <v>4965</v>
      </c>
      <c r="E14" s="240">
        <f>9037.5+206.25</f>
        <v>9243.75</v>
      </c>
      <c r="F14" s="240">
        <v>10722.75</v>
      </c>
      <c r="G14" s="240">
        <v>9100</v>
      </c>
      <c r="H14" s="240">
        <v>4965</v>
      </c>
      <c r="I14" s="240">
        <f>9037.5+206.25</f>
        <v>9243.75</v>
      </c>
      <c r="J14" s="240">
        <v>10722.75</v>
      </c>
      <c r="K14" s="35"/>
      <c r="M14" s="112"/>
    </row>
    <row r="15" spans="1:13" x14ac:dyDescent="0.2">
      <c r="A15" s="35"/>
      <c r="B15" s="35"/>
      <c r="C15" s="37"/>
      <c r="D15" s="37"/>
      <c r="E15" s="37"/>
      <c r="F15" s="37"/>
      <c r="G15" s="37"/>
      <c r="H15" s="37"/>
      <c r="I15" s="37"/>
      <c r="J15" s="37"/>
      <c r="K15" s="35"/>
      <c r="M15" s="238"/>
    </row>
    <row r="16" spans="1:13" x14ac:dyDescent="0.2">
      <c r="A16" s="35" t="s">
        <v>82</v>
      </c>
      <c r="B16" s="35"/>
      <c r="C16" s="240">
        <v>50000</v>
      </c>
      <c r="D16" s="240">
        <v>25000</v>
      </c>
      <c r="E16" s="240">
        <v>20000</v>
      </c>
      <c r="F16" s="240">
        <v>30000</v>
      </c>
      <c r="G16" s="240">
        <v>0</v>
      </c>
      <c r="H16" s="240">
        <v>50000</v>
      </c>
      <c r="I16" s="240">
        <v>60000</v>
      </c>
      <c r="J16" s="240">
        <v>85000</v>
      </c>
      <c r="K16" s="35"/>
      <c r="M16" s="238"/>
    </row>
    <row r="17" spans="1:13" x14ac:dyDescent="0.2">
      <c r="A17" s="35"/>
      <c r="B17" s="35"/>
      <c r="C17" s="113"/>
      <c r="D17" s="113"/>
      <c r="E17" s="113"/>
      <c r="F17" s="113"/>
      <c r="G17" s="113"/>
      <c r="H17" s="113"/>
      <c r="I17" s="113"/>
      <c r="J17" s="113"/>
      <c r="K17" s="35"/>
      <c r="M17" s="238"/>
    </row>
    <row r="18" spans="1:13" x14ac:dyDescent="0.2">
      <c r="A18" s="35" t="s">
        <v>173</v>
      </c>
      <c r="B18" s="35"/>
      <c r="C18" s="368">
        <v>500</v>
      </c>
      <c r="D18" s="368">
        <v>600</v>
      </c>
      <c r="E18" s="368">
        <v>650</v>
      </c>
      <c r="F18" s="368">
        <v>400</v>
      </c>
      <c r="G18" s="368">
        <v>750</v>
      </c>
      <c r="H18" s="368">
        <v>850</v>
      </c>
      <c r="I18" s="368">
        <v>855</v>
      </c>
      <c r="J18" s="368">
        <v>900</v>
      </c>
      <c r="K18" s="35"/>
      <c r="M18" s="238"/>
    </row>
    <row r="19" spans="1:13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M19" s="238"/>
    </row>
    <row r="20" spans="1:13" x14ac:dyDescent="0.2">
      <c r="A20" s="35" t="s">
        <v>90</v>
      </c>
      <c r="B20" s="35"/>
      <c r="C20" s="239">
        <v>21</v>
      </c>
      <c r="D20" s="239">
        <v>14</v>
      </c>
      <c r="E20" s="239">
        <v>21</v>
      </c>
      <c r="F20" s="239">
        <v>12</v>
      </c>
      <c r="G20" s="239">
        <v>0</v>
      </c>
      <c r="H20" s="239">
        <v>14</v>
      </c>
      <c r="I20" s="239">
        <v>21</v>
      </c>
      <c r="J20" s="239">
        <v>12</v>
      </c>
      <c r="K20" s="35"/>
      <c r="M20" s="238"/>
    </row>
    <row r="21" spans="1:13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M21" s="238"/>
    </row>
    <row r="22" spans="1:13" x14ac:dyDescent="0.2">
      <c r="A22" s="35" t="s">
        <v>92</v>
      </c>
      <c r="B22" s="35"/>
      <c r="C22" s="244">
        <v>-6000</v>
      </c>
      <c r="D22" s="244">
        <v>18000</v>
      </c>
      <c r="E22" s="244">
        <v>20000</v>
      </c>
      <c r="F22" s="244">
        <v>5000</v>
      </c>
      <c r="G22" s="244">
        <v>0</v>
      </c>
      <c r="H22" s="244">
        <v>8000</v>
      </c>
      <c r="I22" s="244">
        <v>-8000</v>
      </c>
      <c r="J22" s="244">
        <v>4000</v>
      </c>
      <c r="K22" s="35"/>
      <c r="M22" s="238"/>
    </row>
    <row r="23" spans="1:13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M23" s="238"/>
    </row>
    <row r="24" spans="1:13" x14ac:dyDescent="0.2">
      <c r="A24" s="35" t="s">
        <v>205</v>
      </c>
      <c r="B24" s="35"/>
      <c r="C24" s="239">
        <v>26</v>
      </c>
      <c r="D24" s="239">
        <v>13</v>
      </c>
      <c r="E24" s="239">
        <v>0</v>
      </c>
      <c r="F24" s="239">
        <v>0</v>
      </c>
      <c r="G24" s="239">
        <v>0</v>
      </c>
      <c r="H24" s="239">
        <v>52</v>
      </c>
      <c r="I24" s="239">
        <v>26</v>
      </c>
      <c r="J24" s="239">
        <v>0</v>
      </c>
      <c r="K24" s="35"/>
      <c r="M24" s="238"/>
    </row>
    <row r="25" spans="1:13" x14ac:dyDescent="0.2">
      <c r="A25" s="35" t="s">
        <v>206</v>
      </c>
      <c r="B25" s="35"/>
      <c r="C25" s="239">
        <v>26</v>
      </c>
      <c r="D25" s="239">
        <v>13</v>
      </c>
      <c r="E25" s="239">
        <v>0</v>
      </c>
      <c r="F25" s="239">
        <v>0</v>
      </c>
      <c r="G25" s="239">
        <v>0</v>
      </c>
      <c r="H25" s="239">
        <v>26</v>
      </c>
      <c r="I25" s="239">
        <v>26</v>
      </c>
      <c r="J25" s="239">
        <v>0</v>
      </c>
      <c r="K25" s="35"/>
    </row>
    <row r="26" spans="1:13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ht="15.75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3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3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3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3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3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1:1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1:1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1:1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1:11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</row>
    <row r="74" spans="1:11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1:11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1:11" ht="13.5" thickBot="1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</row>
  </sheetData>
  <sheetProtection password="CAF3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38"/>
  <sheetViews>
    <sheetView showGridLines="0" topLeftCell="A7" zoomScale="80" zoomScaleNormal="80" workbookViewId="0">
      <selection activeCell="A34" sqref="A34"/>
    </sheetView>
  </sheetViews>
  <sheetFormatPr defaultColWidth="9.125" defaultRowHeight="15" x14ac:dyDescent="0.2"/>
  <cols>
    <col min="1" max="1" width="4.625" style="7" customWidth="1"/>
    <col min="2" max="2" width="41.625" style="7" customWidth="1"/>
    <col min="3" max="10" width="15.125" style="7" bestFit="1" customWidth="1"/>
    <col min="11" max="16384" width="9.125" style="7"/>
  </cols>
  <sheetData>
    <row r="1" spans="1:10" ht="18" x14ac:dyDescent="0.25">
      <c r="A1" s="6" t="s">
        <v>83</v>
      </c>
    </row>
    <row r="5" spans="1:10" ht="15.75" x14ac:dyDescent="0.25">
      <c r="A5" s="32" t="s">
        <v>94</v>
      </c>
      <c r="D5" s="32" t="str">
        <f>'1. Schools Data Sheet'!C3</f>
        <v>For the Period September 2016 to August 2017</v>
      </c>
    </row>
    <row r="6" spans="1:10" ht="15.75" thickBot="1" x14ac:dyDescent="0.25"/>
    <row r="7" spans="1:10" ht="16.5" thickBot="1" x14ac:dyDescent="0.3">
      <c r="C7" s="329" t="str">
        <f>'1. Schools Data Sheet'!C5</f>
        <v>School 1</v>
      </c>
      <c r="D7" s="330" t="str">
        <f>'1. Schools Data Sheet'!D5</f>
        <v>School 2</v>
      </c>
      <c r="E7" s="330" t="str">
        <f>'1. Schools Data Sheet'!E5</f>
        <v>School 3</v>
      </c>
      <c r="F7" s="330" t="str">
        <f>'1. Schools Data Sheet'!F5</f>
        <v>School 4</v>
      </c>
      <c r="G7" s="330" t="str">
        <f>'1. Schools Data Sheet'!G5</f>
        <v>School 5</v>
      </c>
      <c r="H7" s="330" t="str">
        <f>'1. Schools Data Sheet'!H5</f>
        <v>School 6</v>
      </c>
      <c r="I7" s="330" t="str">
        <f>'1. Schools Data Sheet'!I5</f>
        <v>School 7</v>
      </c>
      <c r="J7" s="331" t="str">
        <f>'1. Schools Data Sheet'!J5</f>
        <v>School 8</v>
      </c>
    </row>
    <row r="8" spans="1:10" x14ac:dyDescent="0.2">
      <c r="C8" s="332"/>
      <c r="D8" s="333"/>
      <c r="E8" s="333"/>
      <c r="F8" s="333"/>
      <c r="G8" s="333"/>
      <c r="H8" s="333"/>
      <c r="I8" s="333"/>
      <c r="J8" s="334"/>
    </row>
    <row r="9" spans="1:10" x14ac:dyDescent="0.2">
      <c r="A9" s="7" t="s">
        <v>58</v>
      </c>
      <c r="C9" s="335">
        <f>'1. Schools Data Sheet'!C7</f>
        <v>50</v>
      </c>
      <c r="D9" s="336">
        <f>'1. Schools Data Sheet'!D7</f>
        <v>67</v>
      </c>
      <c r="E9" s="336">
        <f>'1. Schools Data Sheet'!E7</f>
        <v>65</v>
      </c>
      <c r="F9" s="336">
        <f>'1. Schools Data Sheet'!F7</f>
        <v>33</v>
      </c>
      <c r="G9" s="336">
        <f>'1. Schools Data Sheet'!G7</f>
        <v>82</v>
      </c>
      <c r="H9" s="336">
        <f>'1. Schools Data Sheet'!H7</f>
        <v>101</v>
      </c>
      <c r="I9" s="336">
        <f>'1. Schools Data Sheet'!I7</f>
        <v>104</v>
      </c>
      <c r="J9" s="337">
        <f>'1. Schools Data Sheet'!J7</f>
        <v>110</v>
      </c>
    </row>
    <row r="10" spans="1:10" x14ac:dyDescent="0.2">
      <c r="C10" s="335"/>
      <c r="D10" s="336"/>
      <c r="E10" s="336"/>
      <c r="F10" s="336"/>
      <c r="G10" s="336"/>
      <c r="H10" s="336"/>
      <c r="I10" s="336"/>
      <c r="J10" s="337"/>
    </row>
    <row r="11" spans="1:10" s="32" customFormat="1" ht="15.75" x14ac:dyDescent="0.25">
      <c r="A11" s="32" t="s">
        <v>84</v>
      </c>
      <c r="C11" s="338">
        <f>ROUND(C9*'1. Schools Data Sheet'!C$8,0)</f>
        <v>143250</v>
      </c>
      <c r="D11" s="339">
        <f>ROUND(D9*'1. Schools Data Sheet'!D$8,0)</f>
        <v>191955</v>
      </c>
      <c r="E11" s="339">
        <f>ROUND(E9*'1. Schools Data Sheet'!E$8,0)</f>
        <v>186225</v>
      </c>
      <c r="F11" s="339">
        <f>ROUND(F9*'1. Schools Data Sheet'!F$8,0)</f>
        <v>94545</v>
      </c>
      <c r="G11" s="339">
        <f>ROUND(G9*'1. Schools Data Sheet'!G$8,0)</f>
        <v>234930</v>
      </c>
      <c r="H11" s="339">
        <f>ROUND(H9*'1. Schools Data Sheet'!H$8,0)</f>
        <v>289365</v>
      </c>
      <c r="I11" s="339">
        <f>ROUND(I9*'1. Schools Data Sheet'!I$8,0)</f>
        <v>297960</v>
      </c>
      <c r="J11" s="340">
        <f>ROUND(J9*'1. Schools Data Sheet'!J$8,0)</f>
        <v>315150</v>
      </c>
    </row>
    <row r="12" spans="1:10" x14ac:dyDescent="0.2">
      <c r="C12" s="341"/>
      <c r="D12" s="342"/>
      <c r="E12" s="342"/>
      <c r="F12" s="342"/>
      <c r="G12" s="342"/>
      <c r="H12" s="342"/>
      <c r="I12" s="342"/>
      <c r="J12" s="343"/>
    </row>
    <row r="13" spans="1:10" ht="15.75" x14ac:dyDescent="0.25">
      <c r="A13" s="32" t="s">
        <v>6</v>
      </c>
      <c r="C13" s="341"/>
      <c r="D13" s="342"/>
      <c r="E13" s="342"/>
      <c r="F13" s="342"/>
      <c r="G13" s="342"/>
      <c r="H13" s="342"/>
      <c r="I13" s="342"/>
      <c r="J13" s="343"/>
    </row>
    <row r="14" spans="1:10" x14ac:dyDescent="0.2">
      <c r="B14" s="7" t="s">
        <v>85</v>
      </c>
      <c r="C14" s="344">
        <f>ROUND('1. Schools Data Sheet'!C9*'Funding Base Data'!$G$21*C9,0)</f>
        <v>2537</v>
      </c>
      <c r="D14" s="345">
        <f>ROUND('1. Schools Data Sheet'!D9*'Funding Base Data'!$G$21*D9,0)</f>
        <v>8499</v>
      </c>
      <c r="E14" s="345">
        <f>ROUND('1. Schools Data Sheet'!E9*'Funding Base Data'!$G$21*E9,0)</f>
        <v>6596</v>
      </c>
      <c r="F14" s="345">
        <f>ROUND('1. Schools Data Sheet'!F9*'Funding Base Data'!$G$21*F9,0)</f>
        <v>3349</v>
      </c>
      <c r="G14" s="345">
        <f>ROUND('1. Schools Data Sheet'!G9*'Funding Base Data'!$G$21*G9,0)</f>
        <v>17336</v>
      </c>
      <c r="H14" s="345">
        <f>ROUND('1. Schools Data Sheet'!H9*'Funding Base Data'!$G$21*H9,0)</f>
        <v>17082</v>
      </c>
      <c r="I14" s="345">
        <f>ROUND('1. Schools Data Sheet'!I9*'Funding Base Data'!$G$21*I9,0)</f>
        <v>26385</v>
      </c>
      <c r="J14" s="346">
        <f>ROUND('1. Schools Data Sheet'!J9*'Funding Base Data'!$G$21*J9,0)</f>
        <v>23256</v>
      </c>
    </row>
    <row r="15" spans="1:10" x14ac:dyDescent="0.2">
      <c r="B15" s="7" t="s">
        <v>3</v>
      </c>
      <c r="C15" s="347">
        <f>ROUND('1. Schools Data Sheet'!C10*'Funding Base Data'!$G$22*'2. Projected Funding'!C9,0)</f>
        <v>1804</v>
      </c>
      <c r="D15" s="348">
        <f>ROUND('1. Schools Data Sheet'!D10*'Funding Base Data'!$G$22*'2. Projected Funding'!D9,0)</f>
        <v>2819</v>
      </c>
      <c r="E15" s="348">
        <f>ROUND('1. Schools Data Sheet'!E10*'Funding Base Data'!$G$22*'2. Projected Funding'!E9,0)</f>
        <v>2475</v>
      </c>
      <c r="F15" s="348">
        <f>ROUND('1. Schools Data Sheet'!F10*'Funding Base Data'!$G$22*'2. Projected Funding'!F9,0)</f>
        <v>1719</v>
      </c>
      <c r="G15" s="348">
        <f>ROUND('1. Schools Data Sheet'!G10*'Funding Base Data'!$G$22*'2. Projected Funding'!G9,0)</f>
        <v>4930</v>
      </c>
      <c r="H15" s="348">
        <f>ROUND('1. Schools Data Sheet'!H10*'Funding Base Data'!$G$22*'2. Projected Funding'!H9,0)</f>
        <v>8703</v>
      </c>
      <c r="I15" s="348">
        <f>ROUND('1. Schools Data Sheet'!I10*'Funding Base Data'!$G$22*'2. Projected Funding'!I9,0)</f>
        <v>6877</v>
      </c>
      <c r="J15" s="349">
        <f>ROUND('1. Schools Data Sheet'!J10*'Funding Base Data'!$G$22*'2. Projected Funding'!J9,0)</f>
        <v>3306</v>
      </c>
    </row>
    <row r="16" spans="1:10" x14ac:dyDescent="0.2">
      <c r="C16" s="344"/>
      <c r="D16" s="345"/>
      <c r="E16" s="345"/>
      <c r="F16" s="345"/>
      <c r="G16" s="345"/>
      <c r="H16" s="342"/>
      <c r="I16" s="342"/>
      <c r="J16" s="343"/>
    </row>
    <row r="17" spans="1:10" ht="15.75" x14ac:dyDescent="0.25">
      <c r="A17" s="32" t="s">
        <v>87</v>
      </c>
      <c r="C17" s="344">
        <f>ROUND('1. Schools Data Sheet'!C11*'Funding Base Data'!$G$24*'2. Projected Funding'!C9,0)</f>
        <v>447</v>
      </c>
      <c r="D17" s="345">
        <f>ROUND('1. Schools Data Sheet'!D11*'Funding Base Data'!$G$24*'2. Projected Funding'!D9,0)</f>
        <v>1497</v>
      </c>
      <c r="E17" s="345">
        <f>ROUND('1. Schools Data Sheet'!E11*'Funding Base Data'!$G$24*'2. Projected Funding'!E9,0)</f>
        <v>1743</v>
      </c>
      <c r="F17" s="345">
        <f>ROUND('1. Schools Data Sheet'!F11*'Funding Base Data'!$G$24*'2. Projected Funding'!F9,0)</f>
        <v>590</v>
      </c>
      <c r="G17" s="345">
        <f>ROUND('1. Schools Data Sheet'!G11*'Funding Base Data'!$G$24*'2. Projected Funding'!G9,0)</f>
        <v>1466</v>
      </c>
      <c r="H17" s="345">
        <f>ROUND('1. Schools Data Sheet'!H11*'Funding Base Data'!$G$24*'2. Projected Funding'!H9,0)</f>
        <v>903</v>
      </c>
      <c r="I17" s="345">
        <f>ROUND('1. Schools Data Sheet'!I11*'Funding Base Data'!$G$24*'2. Projected Funding'!I9,0)</f>
        <v>929</v>
      </c>
      <c r="J17" s="346">
        <f>ROUND('1. Schools Data Sheet'!J11*'Funding Base Data'!$G$24*'2. Projected Funding'!J9,0)</f>
        <v>3932</v>
      </c>
    </row>
    <row r="18" spans="1:10" x14ac:dyDescent="0.2">
      <c r="C18" s="341"/>
      <c r="D18" s="342"/>
      <c r="E18" s="342"/>
      <c r="F18" s="342"/>
      <c r="G18" s="342"/>
      <c r="H18" s="342"/>
      <c r="I18" s="342"/>
      <c r="J18" s="343"/>
    </row>
    <row r="19" spans="1:10" ht="15.75" x14ac:dyDescent="0.25">
      <c r="A19" s="32" t="s">
        <v>7</v>
      </c>
      <c r="C19" s="344">
        <f>ROUND('1. Schools Data Sheet'!C12*'Funding Base Data'!$G$27*'2. Projected Funding'!C9,0)</f>
        <v>10051</v>
      </c>
      <c r="D19" s="345">
        <f>ROUND('1. Schools Data Sheet'!D12*'Funding Base Data'!$G$27*'2. Projected Funding'!D9,0)</f>
        <v>7899</v>
      </c>
      <c r="E19" s="345">
        <f>ROUND('1. Schools Data Sheet'!E12*'Funding Base Data'!$G$27*'2. Projected Funding'!E9,0)</f>
        <v>14622</v>
      </c>
      <c r="F19" s="345">
        <f>ROUND('1. Schools Data Sheet'!F12*'Funding Base Data'!$G$27*'2. Projected Funding'!F9,0)</f>
        <v>6924</v>
      </c>
      <c r="G19" s="345">
        <f>ROUND('1. Schools Data Sheet'!G12*'Funding Base Data'!$G$27*'2. Projected Funding'!G9,0)</f>
        <v>17357</v>
      </c>
      <c r="H19" s="345">
        <f>ROUND('1. Schools Data Sheet'!H12*'Funding Base Data'!$G$27*'2. Projected Funding'!H9,0)</f>
        <v>11908</v>
      </c>
      <c r="I19" s="345">
        <f>ROUND('1. Schools Data Sheet'!I12*'Funding Base Data'!$G$27*'2. Projected Funding'!I9,0)</f>
        <v>23395</v>
      </c>
      <c r="J19" s="346">
        <f>ROUND('1. Schools Data Sheet'!J12*'Funding Base Data'!$G$27*'2. Projected Funding'!J9,0)</f>
        <v>23080</v>
      </c>
    </row>
    <row r="20" spans="1:10" x14ac:dyDescent="0.2">
      <c r="C20" s="350"/>
      <c r="D20" s="351"/>
      <c r="E20" s="351"/>
      <c r="F20" s="351"/>
      <c r="G20" s="342"/>
      <c r="H20" s="342"/>
      <c r="I20" s="342"/>
      <c r="J20" s="343"/>
    </row>
    <row r="21" spans="1:10" ht="15.75" x14ac:dyDescent="0.25">
      <c r="A21" s="32" t="s">
        <v>8</v>
      </c>
      <c r="C21" s="341"/>
      <c r="D21" s="342"/>
      <c r="E21" s="342"/>
      <c r="F21" s="342"/>
      <c r="G21" s="342"/>
      <c r="H21" s="342"/>
      <c r="I21" s="342"/>
      <c r="J21" s="343"/>
    </row>
    <row r="22" spans="1:10" x14ac:dyDescent="0.2">
      <c r="B22" s="7" t="s">
        <v>4</v>
      </c>
      <c r="C22" s="344">
        <f>'1. Schools Data Sheet'!C13</f>
        <v>111026</v>
      </c>
      <c r="D22" s="345">
        <f>'1. Schools Data Sheet'!D13</f>
        <v>111026</v>
      </c>
      <c r="E22" s="345">
        <f>'1. Schools Data Sheet'!E13</f>
        <v>111026</v>
      </c>
      <c r="F22" s="345">
        <f>'1. Schools Data Sheet'!F13</f>
        <v>111026</v>
      </c>
      <c r="G22" s="345">
        <f>'1. Schools Data Sheet'!G13</f>
        <v>111026</v>
      </c>
      <c r="H22" s="345">
        <f>'1. Schools Data Sheet'!H13</f>
        <v>111026</v>
      </c>
      <c r="I22" s="345">
        <f>'1. Schools Data Sheet'!I13</f>
        <v>111026</v>
      </c>
      <c r="J22" s="346">
        <f>'1. Schools Data Sheet'!J13</f>
        <v>111026</v>
      </c>
    </row>
    <row r="23" spans="1:10" x14ac:dyDescent="0.2">
      <c r="B23" s="7" t="s">
        <v>14</v>
      </c>
      <c r="C23" s="344">
        <f>'1. Schools Data Sheet'!C14</f>
        <v>5880</v>
      </c>
      <c r="D23" s="345">
        <f>'1. Schools Data Sheet'!D14</f>
        <v>4965</v>
      </c>
      <c r="E23" s="345">
        <f>'1. Schools Data Sheet'!E14</f>
        <v>9243.75</v>
      </c>
      <c r="F23" s="345">
        <f>'1. Schools Data Sheet'!F14</f>
        <v>10722.75</v>
      </c>
      <c r="G23" s="345">
        <f>'1. Schools Data Sheet'!G14</f>
        <v>9100</v>
      </c>
      <c r="H23" s="345">
        <f>'1. Schools Data Sheet'!H14</f>
        <v>4965</v>
      </c>
      <c r="I23" s="345">
        <f>'1. Schools Data Sheet'!I14</f>
        <v>9243.75</v>
      </c>
      <c r="J23" s="346">
        <f>'1. Schools Data Sheet'!J14</f>
        <v>10722.75</v>
      </c>
    </row>
    <row r="24" spans="1:10" x14ac:dyDescent="0.2">
      <c r="C24" s="344"/>
      <c r="D24" s="345"/>
      <c r="E24" s="345"/>
      <c r="F24" s="345"/>
      <c r="G24" s="345"/>
      <c r="H24" s="345"/>
      <c r="I24" s="345"/>
      <c r="J24" s="346"/>
    </row>
    <row r="25" spans="1:10" ht="15.75" x14ac:dyDescent="0.25">
      <c r="A25" s="32" t="s">
        <v>8</v>
      </c>
      <c r="C25" s="344"/>
      <c r="D25" s="345"/>
      <c r="E25" s="345"/>
      <c r="F25" s="345"/>
      <c r="G25" s="345"/>
      <c r="H25" s="345"/>
      <c r="I25" s="345"/>
      <c r="J25" s="346"/>
    </row>
    <row r="26" spans="1:10" x14ac:dyDescent="0.2">
      <c r="B26" s="7" t="s">
        <v>248</v>
      </c>
      <c r="C26" s="347">
        <f>'1. Schools Data Sheet'!C22</f>
        <v>-6000</v>
      </c>
      <c r="D26" s="348">
        <f>'1. Schools Data Sheet'!D22</f>
        <v>18000</v>
      </c>
      <c r="E26" s="348">
        <f>'1. Schools Data Sheet'!E22</f>
        <v>20000</v>
      </c>
      <c r="F26" s="348">
        <f>'1. Schools Data Sheet'!F22</f>
        <v>5000</v>
      </c>
      <c r="G26" s="348">
        <f>'1. Schools Data Sheet'!G22</f>
        <v>0</v>
      </c>
      <c r="H26" s="348">
        <f>'1. Schools Data Sheet'!H22</f>
        <v>8000</v>
      </c>
      <c r="I26" s="348">
        <f>'1. Schools Data Sheet'!I22</f>
        <v>-8000</v>
      </c>
      <c r="J26" s="349">
        <f>'1. Schools Data Sheet'!J22</f>
        <v>4000</v>
      </c>
    </row>
    <row r="27" spans="1:10" x14ac:dyDescent="0.2">
      <c r="C27" s="344"/>
      <c r="D27" s="345"/>
      <c r="E27" s="345"/>
      <c r="F27" s="345"/>
      <c r="G27" s="345"/>
      <c r="H27" s="345"/>
      <c r="I27" s="345"/>
      <c r="J27" s="346"/>
    </row>
    <row r="28" spans="1:10" ht="15.75" x14ac:dyDescent="0.25">
      <c r="A28" s="32" t="s">
        <v>155</v>
      </c>
      <c r="C28" s="352">
        <f t="shared" ref="C28:J28" si="0">SUM(C11:C27)</f>
        <v>268995</v>
      </c>
      <c r="D28" s="353">
        <f t="shared" si="0"/>
        <v>346660</v>
      </c>
      <c r="E28" s="353">
        <f t="shared" si="0"/>
        <v>351930.75</v>
      </c>
      <c r="F28" s="353">
        <f t="shared" si="0"/>
        <v>233875.75</v>
      </c>
      <c r="G28" s="353">
        <f t="shared" si="0"/>
        <v>396145</v>
      </c>
      <c r="H28" s="353">
        <f t="shared" si="0"/>
        <v>451952</v>
      </c>
      <c r="I28" s="353">
        <f t="shared" si="0"/>
        <v>467815.75</v>
      </c>
      <c r="J28" s="354">
        <f t="shared" si="0"/>
        <v>494472.75</v>
      </c>
    </row>
    <row r="29" spans="1:10" x14ac:dyDescent="0.2">
      <c r="C29" s="344"/>
      <c r="D29" s="345"/>
      <c r="E29" s="345"/>
      <c r="F29" s="345"/>
      <c r="G29" s="342"/>
      <c r="H29" s="342"/>
      <c r="I29" s="342"/>
      <c r="J29" s="343"/>
    </row>
    <row r="30" spans="1:10" ht="15.75" x14ac:dyDescent="0.25">
      <c r="A30" s="32" t="s">
        <v>17</v>
      </c>
      <c r="C30" s="344">
        <f>ROUND('1. Schools Data Sheet'!C20*'Funding Base Data'!$G$42,0)</f>
        <v>27720</v>
      </c>
      <c r="D30" s="345">
        <f>ROUND('1. Schools Data Sheet'!D20*'Funding Base Data'!$G$42,0)</f>
        <v>18480</v>
      </c>
      <c r="E30" s="345">
        <f>ROUND('1. Schools Data Sheet'!E20*'Funding Base Data'!$G$42,0)</f>
        <v>27720</v>
      </c>
      <c r="F30" s="345">
        <f>ROUND('1. Schools Data Sheet'!F20*'Funding Base Data'!$G$42,0)</f>
        <v>15840</v>
      </c>
      <c r="G30" s="345">
        <f>ROUND('1. Schools Data Sheet'!G20*'Funding Base Data'!$G$42,0)</f>
        <v>0</v>
      </c>
      <c r="H30" s="345">
        <f>ROUND('1. Schools Data Sheet'!H20*'Funding Base Data'!$G$42,0)</f>
        <v>18480</v>
      </c>
      <c r="I30" s="345">
        <f>ROUND('1. Schools Data Sheet'!I20*'Funding Base Data'!$G$42,0)</f>
        <v>27720</v>
      </c>
      <c r="J30" s="346">
        <f>ROUND('1. Schools Data Sheet'!J20*'Funding Base Data'!$G$42,0)</f>
        <v>15840</v>
      </c>
    </row>
    <row r="31" spans="1:10" x14ac:dyDescent="0.2">
      <c r="C31" s="341"/>
      <c r="D31" s="342"/>
      <c r="E31" s="342"/>
      <c r="F31" s="342"/>
      <c r="G31" s="342"/>
      <c r="H31" s="342"/>
      <c r="I31" s="342"/>
      <c r="J31" s="343"/>
    </row>
    <row r="32" spans="1:10" ht="15.75" x14ac:dyDescent="0.25">
      <c r="A32" s="32" t="s">
        <v>23</v>
      </c>
      <c r="C32" s="344">
        <f>IF(C9&gt;0,ROUND('1. Schools Data Sheet'!C7*'Funding Base Data'!$G$47,0)+4000,0)</f>
        <v>4563</v>
      </c>
      <c r="D32" s="345">
        <f>IF(D9&gt;0,ROUND('1. Schools Data Sheet'!D7*'Funding Base Data'!$G$47,0)+4000,0)</f>
        <v>4754</v>
      </c>
      <c r="E32" s="345">
        <f>IF(E9&gt;0,ROUND('1. Schools Data Sheet'!E7*'Funding Base Data'!$G$47,0)+4000,0)</f>
        <v>4731</v>
      </c>
      <c r="F32" s="345">
        <f>IF(F9&gt;0,ROUND('1. Schools Data Sheet'!F7*'Funding Base Data'!$G$47,0)+4000,0)</f>
        <v>4371</v>
      </c>
      <c r="G32" s="345">
        <f>IF(G9&gt;0,ROUND('1. Schools Data Sheet'!G7*'Funding Base Data'!$G$47,0)+4000,0)</f>
        <v>4923</v>
      </c>
      <c r="H32" s="345">
        <f>IF(H9&gt;0,ROUND('1. Schools Data Sheet'!H7*'Funding Base Data'!$G$47,0)+4000,0)</f>
        <v>5136</v>
      </c>
      <c r="I32" s="345">
        <f>IF(I9&gt;0,ROUND('1. Schools Data Sheet'!I7*'Funding Base Data'!$G$47,0)+4000,0)</f>
        <v>5170</v>
      </c>
      <c r="J32" s="346">
        <f>IF(J9&gt;0,ROUND('1. Schools Data Sheet'!J7*'Funding Base Data'!$G$47,0)+4000,0)</f>
        <v>5238</v>
      </c>
    </row>
    <row r="33" spans="1:10" x14ac:dyDescent="0.2">
      <c r="C33" s="341"/>
      <c r="D33" s="342"/>
      <c r="E33" s="342"/>
      <c r="F33" s="342"/>
      <c r="G33" s="342"/>
      <c r="H33" s="342"/>
      <c r="I33" s="342"/>
      <c r="J33" s="343"/>
    </row>
    <row r="34" spans="1:10" ht="15.75" x14ac:dyDescent="0.25">
      <c r="A34" s="32" t="s">
        <v>251</v>
      </c>
      <c r="C34" s="347">
        <f>'1. Schools Data Sheet'!C16</f>
        <v>50000</v>
      </c>
      <c r="D34" s="348">
        <f>'1. Schools Data Sheet'!D16</f>
        <v>25000</v>
      </c>
      <c r="E34" s="348">
        <f>'1. Schools Data Sheet'!E16</f>
        <v>20000</v>
      </c>
      <c r="F34" s="348">
        <f>'1. Schools Data Sheet'!F16</f>
        <v>30000</v>
      </c>
      <c r="G34" s="348">
        <f>'1. Schools Data Sheet'!G16</f>
        <v>0</v>
      </c>
      <c r="H34" s="348">
        <f>'1. Schools Data Sheet'!H16</f>
        <v>50000</v>
      </c>
      <c r="I34" s="348">
        <f>'1. Schools Data Sheet'!I16</f>
        <v>60000</v>
      </c>
      <c r="J34" s="349">
        <f>'1. Schools Data Sheet'!J16</f>
        <v>85000</v>
      </c>
    </row>
    <row r="35" spans="1:10" ht="15.75" thickBot="1" x14ac:dyDescent="0.25">
      <c r="C35" s="355"/>
      <c r="D35" s="356"/>
      <c r="E35" s="356"/>
      <c r="F35" s="356"/>
      <c r="G35" s="356"/>
      <c r="H35" s="356"/>
      <c r="I35" s="356"/>
      <c r="J35" s="357"/>
    </row>
    <row r="36" spans="1:10" s="32" customFormat="1" ht="16.5" thickBot="1" x14ac:dyDescent="0.3">
      <c r="A36" s="32" t="s">
        <v>91</v>
      </c>
      <c r="C36" s="358">
        <f>SUM(C28:C35)</f>
        <v>351278</v>
      </c>
      <c r="D36" s="359">
        <f t="shared" ref="D36:J36" si="1">SUM(D28:D35)</f>
        <v>394894</v>
      </c>
      <c r="E36" s="359">
        <f t="shared" si="1"/>
        <v>404381.75</v>
      </c>
      <c r="F36" s="359">
        <f t="shared" si="1"/>
        <v>284086.75</v>
      </c>
      <c r="G36" s="359">
        <f t="shared" si="1"/>
        <v>401068</v>
      </c>
      <c r="H36" s="359">
        <f t="shared" si="1"/>
        <v>525568</v>
      </c>
      <c r="I36" s="359">
        <f t="shared" si="1"/>
        <v>560705.75</v>
      </c>
      <c r="J36" s="360">
        <f t="shared" si="1"/>
        <v>600550.75</v>
      </c>
    </row>
    <row r="37" spans="1:10" ht="15.75" thickBot="1" x14ac:dyDescent="0.25"/>
    <row r="38" spans="1:10" ht="16.5" thickBot="1" x14ac:dyDescent="0.3">
      <c r="A38" s="32" t="s">
        <v>174</v>
      </c>
      <c r="C38" s="361">
        <f>'1. Schools Data Sheet'!C24*15*'Funding Base Data'!$E$66*38+('1. Schools Data Sheet'!C25*15*'Funding Base Data'!$E$66*38)</f>
        <v>96922.8</v>
      </c>
      <c r="D38" s="362">
        <f>'1. Schools Data Sheet'!D24*15*'Funding Base Data'!$E$66*38+('1. Schools Data Sheet'!D25*15*'Funding Base Data'!$E$66*38)</f>
        <v>48461.4</v>
      </c>
      <c r="E38" s="362">
        <f>'1. Schools Data Sheet'!E24*15*'Funding Base Data'!$E$66*38+('1. Schools Data Sheet'!E25*15*'Funding Base Data'!$E$66*38)</f>
        <v>0</v>
      </c>
      <c r="F38" s="362">
        <f>'1. Schools Data Sheet'!F24*15*'Funding Base Data'!$E$66*38+('1. Schools Data Sheet'!F25*15*'Funding Base Data'!$E$66*38)</f>
        <v>0</v>
      </c>
      <c r="G38" s="362">
        <f>'1. Schools Data Sheet'!G24*15*'Funding Base Data'!$E$66*38+('1. Schools Data Sheet'!G25*15*'Funding Base Data'!$E$66*38)</f>
        <v>0</v>
      </c>
      <c r="H38" s="362">
        <f>'1. Schools Data Sheet'!H24*15*'Funding Base Data'!$E$66*38+('1. Schools Data Sheet'!H25*15*'Funding Base Data'!$E$66*38)</f>
        <v>145384.20000000001</v>
      </c>
      <c r="I38" s="362">
        <f>'1. Schools Data Sheet'!I24*15*'Funding Base Data'!$E$66*38+('1. Schools Data Sheet'!I25*15*'Funding Base Data'!$E$66*38)</f>
        <v>96922.8</v>
      </c>
      <c r="J38" s="363">
        <f>'1. Schools Data Sheet'!J24*15*'Funding Base Data'!$E$66*38+('1. Schools Data Sheet'!J25*15*'Funding Base Data'!$E$66*38)</f>
        <v>0</v>
      </c>
    </row>
  </sheetData>
  <sheetProtection password="CAF3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24" workbookViewId="0">
      <selection activeCell="G40" sqref="G40"/>
    </sheetView>
  </sheetViews>
  <sheetFormatPr defaultColWidth="9.125" defaultRowHeight="14.25" x14ac:dyDescent="0.2"/>
  <cols>
    <col min="1" max="1" width="6.375" style="2" customWidth="1"/>
    <col min="2" max="2" width="37.125" style="2" bestFit="1" customWidth="1"/>
    <col min="3" max="3" width="13.75" style="2" customWidth="1"/>
    <col min="4" max="7" width="14" style="2" bestFit="1" customWidth="1"/>
    <col min="8" max="9" width="12.75" style="2" bestFit="1" customWidth="1"/>
    <col min="10" max="10" width="12.625" style="2" customWidth="1"/>
    <col min="11" max="16384" width="9.125" style="2"/>
  </cols>
  <sheetData>
    <row r="1" spans="1:11" ht="18" x14ac:dyDescent="0.25">
      <c r="A1" s="6" t="s">
        <v>13</v>
      </c>
    </row>
    <row r="3" spans="1:11" ht="15.75" x14ac:dyDescent="0.25">
      <c r="A3" s="9" t="s">
        <v>0</v>
      </c>
    </row>
    <row r="4" spans="1:11" s="7" customFormat="1" ht="15" x14ac:dyDescent="0.2">
      <c r="C4" s="8" t="s">
        <v>9</v>
      </c>
      <c r="D4" s="13" t="s">
        <v>10</v>
      </c>
      <c r="E4" s="13" t="s">
        <v>11</v>
      </c>
      <c r="F4" s="13" t="s">
        <v>12</v>
      </c>
    </row>
    <row r="6" spans="1:11" ht="15" x14ac:dyDescent="0.25">
      <c r="A6" s="1" t="s">
        <v>58</v>
      </c>
      <c r="B6" s="1"/>
      <c r="C6" s="45">
        <v>131</v>
      </c>
      <c r="D6" s="45">
        <v>49</v>
      </c>
      <c r="E6" s="45">
        <v>115</v>
      </c>
      <c r="F6" s="45">
        <v>100</v>
      </c>
      <c r="G6" s="45">
        <v>131</v>
      </c>
      <c r="H6" s="1">
        <v>49</v>
      </c>
      <c r="I6" s="1">
        <v>115</v>
      </c>
      <c r="J6" s="1">
        <v>100</v>
      </c>
    </row>
    <row r="8" spans="1:11" ht="15" x14ac:dyDescent="0.25">
      <c r="A8" s="1" t="s">
        <v>31</v>
      </c>
    </row>
    <row r="9" spans="1:11" x14ac:dyDescent="0.2">
      <c r="B9" s="2" t="s">
        <v>32</v>
      </c>
      <c r="C9" s="15" t="s">
        <v>65</v>
      </c>
      <c r="D9" s="15" t="s">
        <v>67</v>
      </c>
      <c r="E9" s="15" t="s">
        <v>57</v>
      </c>
      <c r="F9" s="15" t="s">
        <v>73</v>
      </c>
      <c r="J9" s="2">
        <f>45421*1.01</f>
        <v>45875.21</v>
      </c>
    </row>
    <row r="10" spans="1:11" x14ac:dyDescent="0.2">
      <c r="B10" s="2" t="s">
        <v>35</v>
      </c>
      <c r="C10" s="3">
        <v>1</v>
      </c>
      <c r="D10" s="3">
        <v>1</v>
      </c>
      <c r="E10" s="3">
        <v>1</v>
      </c>
      <c r="F10" s="3">
        <v>1</v>
      </c>
      <c r="J10" s="2">
        <f>62521*1.01</f>
        <v>63146.21</v>
      </c>
      <c r="K10" s="2">
        <f>(J10-J9)/2</f>
        <v>8635.5</v>
      </c>
    </row>
    <row r="11" spans="1:11" x14ac:dyDescent="0.2">
      <c r="B11" s="2" t="s">
        <v>59</v>
      </c>
      <c r="C11" s="16">
        <v>71343</v>
      </c>
      <c r="D11" s="16">
        <v>58190</v>
      </c>
      <c r="E11" s="16">
        <v>78952</v>
      </c>
      <c r="F11" s="16">
        <v>67826</v>
      </c>
      <c r="G11" s="2" t="s">
        <v>161</v>
      </c>
      <c r="I11" s="2" t="s">
        <v>160</v>
      </c>
      <c r="J11" s="14">
        <f>(J9+K10)*1.29</f>
        <v>70318.815900000001</v>
      </c>
    </row>
    <row r="12" spans="1:11" x14ac:dyDescent="0.2">
      <c r="B12" s="2" t="s">
        <v>33</v>
      </c>
      <c r="C12" s="3">
        <v>1</v>
      </c>
      <c r="D12" s="3">
        <v>0</v>
      </c>
      <c r="E12" s="3">
        <v>0</v>
      </c>
      <c r="F12" s="3">
        <v>1</v>
      </c>
      <c r="G12" s="44">
        <f>G6/G15</f>
        <v>24.904942965779469</v>
      </c>
      <c r="H12" s="44">
        <f t="shared" ref="H12:J12" si="0">H6/H15</f>
        <v>15.3125</v>
      </c>
      <c r="I12" s="44">
        <f t="shared" si="0"/>
        <v>22.954091816367267</v>
      </c>
      <c r="J12" s="44">
        <f t="shared" si="0"/>
        <v>23.980815347721823</v>
      </c>
      <c r="K12" s="2" t="s">
        <v>159</v>
      </c>
    </row>
    <row r="13" spans="1:11" x14ac:dyDescent="0.2">
      <c r="B13" s="2" t="s">
        <v>34</v>
      </c>
      <c r="C13" s="3">
        <v>0</v>
      </c>
      <c r="D13" s="3">
        <v>0</v>
      </c>
      <c r="E13" s="3">
        <v>0</v>
      </c>
      <c r="F13" s="3">
        <v>0</v>
      </c>
    </row>
    <row r="14" spans="1:11" x14ac:dyDescent="0.2">
      <c r="B14" s="2" t="s">
        <v>61</v>
      </c>
      <c r="C14" s="3">
        <v>7.26</v>
      </c>
      <c r="D14" s="3">
        <v>4.2</v>
      </c>
      <c r="E14" s="3">
        <v>7.01</v>
      </c>
      <c r="F14" s="3">
        <v>5.17</v>
      </c>
      <c r="G14" s="44">
        <f>C14-1</f>
        <v>6.26</v>
      </c>
      <c r="H14" s="44">
        <f t="shared" ref="H14:J15" si="1">D14-1</f>
        <v>3.2</v>
      </c>
      <c r="I14" s="44">
        <f t="shared" si="1"/>
        <v>6.01</v>
      </c>
      <c r="J14" s="44">
        <f t="shared" si="1"/>
        <v>4.17</v>
      </c>
    </row>
    <row r="15" spans="1:11" x14ac:dyDescent="0.2">
      <c r="B15" s="2" t="s">
        <v>62</v>
      </c>
      <c r="C15" s="3">
        <v>6.26</v>
      </c>
      <c r="D15" s="3">
        <v>4.2</v>
      </c>
      <c r="E15" s="3">
        <v>6.01</v>
      </c>
      <c r="F15" s="3">
        <v>5.17</v>
      </c>
      <c r="G15" s="44">
        <f>C15-1</f>
        <v>5.26</v>
      </c>
      <c r="H15" s="44">
        <f t="shared" si="1"/>
        <v>3.2</v>
      </c>
      <c r="I15" s="44">
        <f t="shared" si="1"/>
        <v>5.01</v>
      </c>
      <c r="J15" s="44">
        <f t="shared" si="1"/>
        <v>4.17</v>
      </c>
    </row>
    <row r="16" spans="1:11" x14ac:dyDescent="0.2">
      <c r="B16" s="2" t="s">
        <v>36</v>
      </c>
      <c r="C16" s="3">
        <v>0</v>
      </c>
      <c r="D16" s="3">
        <v>0</v>
      </c>
      <c r="E16" s="3">
        <v>0</v>
      </c>
      <c r="F16" s="3">
        <v>0</v>
      </c>
    </row>
    <row r="17" spans="1:12" x14ac:dyDescent="0.2">
      <c r="B17" s="2" t="s">
        <v>37</v>
      </c>
      <c r="C17" s="3">
        <v>0</v>
      </c>
      <c r="D17" s="3">
        <v>0</v>
      </c>
      <c r="E17" s="3">
        <v>0</v>
      </c>
      <c r="F17" s="3">
        <v>0</v>
      </c>
    </row>
    <row r="18" spans="1:12" x14ac:dyDescent="0.2">
      <c r="B18" s="2" t="s">
        <v>66</v>
      </c>
      <c r="C18" s="3">
        <v>2</v>
      </c>
      <c r="D18" s="3">
        <v>0</v>
      </c>
      <c r="E18" s="3">
        <v>0</v>
      </c>
      <c r="F18" s="3">
        <v>0</v>
      </c>
    </row>
    <row r="19" spans="1:12" x14ac:dyDescent="0.2">
      <c r="B19" s="2" t="s">
        <v>38</v>
      </c>
      <c r="C19" s="3">
        <v>0</v>
      </c>
      <c r="D19" s="3">
        <v>0</v>
      </c>
      <c r="E19" s="3">
        <v>0</v>
      </c>
      <c r="F19" s="3">
        <v>0</v>
      </c>
    </row>
    <row r="20" spans="1:12" x14ac:dyDescent="0.2">
      <c r="B20" s="2" t="s">
        <v>63</v>
      </c>
      <c r="C20" s="16">
        <f>13521/5*12</f>
        <v>32450.399999999998</v>
      </c>
      <c r="D20" s="16">
        <f>133818/3.2</f>
        <v>41818.125</v>
      </c>
      <c r="E20" s="16">
        <f>10719/5*12</f>
        <v>25725.600000000002</v>
      </c>
      <c r="F20" s="16">
        <f>51783/4*12/4.17</f>
        <v>37253.956834532371</v>
      </c>
      <c r="G20" s="43">
        <f>SUM(C20:F20)/4</f>
        <v>34312.020458633095</v>
      </c>
    </row>
    <row r="21" spans="1:12" ht="15" x14ac:dyDescent="0.25">
      <c r="B21" s="1" t="s">
        <v>60</v>
      </c>
      <c r="C21" s="18">
        <v>339574</v>
      </c>
      <c r="D21" s="18">
        <v>192008</v>
      </c>
      <c r="E21" s="18">
        <v>279466</v>
      </c>
      <c r="F21" s="18">
        <v>254593</v>
      </c>
    </row>
    <row r="23" spans="1:12" ht="15" x14ac:dyDescent="0.25">
      <c r="A23" s="1" t="s">
        <v>39</v>
      </c>
    </row>
    <row r="24" spans="1:12" x14ac:dyDescent="0.2">
      <c r="B24" s="2" t="s">
        <v>40</v>
      </c>
      <c r="C24" s="3">
        <v>0.28999999999999998</v>
      </c>
      <c r="D24" s="3">
        <v>0.37</v>
      </c>
      <c r="E24" s="3">
        <v>0.38</v>
      </c>
      <c r="F24" s="3">
        <v>0.39</v>
      </c>
      <c r="I24" s="44"/>
      <c r="J24" s="44"/>
    </row>
    <row r="25" spans="1:12" x14ac:dyDescent="0.2">
      <c r="B25" s="2" t="s">
        <v>41</v>
      </c>
      <c r="C25" s="3">
        <v>0</v>
      </c>
      <c r="D25" s="3">
        <v>0.13</v>
      </c>
      <c r="E25" s="3">
        <v>0.57999999999999996</v>
      </c>
      <c r="F25" s="3">
        <v>0.17</v>
      </c>
      <c r="I25" s="44"/>
      <c r="J25" s="44"/>
    </row>
    <row r="26" spans="1:12" ht="15" x14ac:dyDescent="0.25">
      <c r="B26" s="1" t="s">
        <v>64</v>
      </c>
      <c r="C26" s="18">
        <v>5096</v>
      </c>
      <c r="D26" s="18">
        <v>9540</v>
      </c>
      <c r="E26" s="18">
        <v>17871</v>
      </c>
      <c r="F26" s="18">
        <v>9595</v>
      </c>
      <c r="G26" s="2">
        <f>C26/C60</f>
        <v>2.3197958798130873</v>
      </c>
      <c r="H26" s="2">
        <f t="shared" ref="H26:J26" si="2">D26/D60</f>
        <v>14.172238753199522</v>
      </c>
      <c r="I26" s="2">
        <f t="shared" si="2"/>
        <v>18.284242156990135</v>
      </c>
      <c r="J26" s="2">
        <f t="shared" si="2"/>
        <v>14.140592416398077</v>
      </c>
      <c r="K26" s="14">
        <f>SUM(G26:J26)/4</f>
        <v>12.229217301600205</v>
      </c>
      <c r="L26" s="2" t="s">
        <v>263</v>
      </c>
    </row>
    <row r="27" spans="1:12" x14ac:dyDescent="0.2">
      <c r="C27" s="3"/>
      <c r="D27" s="3"/>
      <c r="E27" s="3"/>
      <c r="F27" s="3"/>
    </row>
    <row r="28" spans="1:12" ht="15" x14ac:dyDescent="0.25">
      <c r="A28" s="1" t="s">
        <v>43</v>
      </c>
    </row>
    <row r="29" spans="1:12" ht="15" x14ac:dyDescent="0.25">
      <c r="A29" s="1"/>
      <c r="B29" s="2" t="s">
        <v>42</v>
      </c>
      <c r="C29" s="2">
        <v>1.07</v>
      </c>
      <c r="D29" s="3">
        <v>0.8</v>
      </c>
      <c r="E29" s="2">
        <v>0.95</v>
      </c>
      <c r="F29" s="3">
        <v>0.8</v>
      </c>
      <c r="G29" s="2">
        <v>22000</v>
      </c>
      <c r="H29" s="2">
        <f>SUM(C29:F29)/4</f>
        <v>0.90500000000000003</v>
      </c>
      <c r="I29" s="14">
        <f>G29*H29</f>
        <v>19910</v>
      </c>
    </row>
    <row r="30" spans="1:12" ht="15" x14ac:dyDescent="0.25">
      <c r="A30" s="1"/>
      <c r="B30" s="2" t="s">
        <v>44</v>
      </c>
      <c r="C30" s="2">
        <v>0.52</v>
      </c>
      <c r="D30" s="3">
        <v>0.32</v>
      </c>
      <c r="E30" s="2">
        <v>0.87</v>
      </c>
      <c r="F30" s="3">
        <v>0.95</v>
      </c>
      <c r="G30" s="2">
        <v>14000</v>
      </c>
      <c r="H30" s="2">
        <f>SUM(C30:F30)/4</f>
        <v>0.66500000000000004</v>
      </c>
      <c r="I30" s="14">
        <f>G30*H30</f>
        <v>9310</v>
      </c>
    </row>
    <row r="31" spans="1:12" ht="15" x14ac:dyDescent="0.25">
      <c r="A31" s="1"/>
      <c r="B31" s="1" t="s">
        <v>64</v>
      </c>
      <c r="C31" s="19">
        <f>9065+27653</f>
        <v>36718</v>
      </c>
      <c r="D31" s="19">
        <f>19492+5431</f>
        <v>24923</v>
      </c>
      <c r="E31" s="18">
        <f>14960+21168</f>
        <v>36128</v>
      </c>
      <c r="F31" s="18">
        <f>15972+19596</f>
        <v>35568</v>
      </c>
      <c r="G31" s="46"/>
    </row>
    <row r="32" spans="1:12" ht="15" x14ac:dyDescent="0.25">
      <c r="A32" s="1"/>
    </row>
    <row r="33" spans="1:10" ht="15" x14ac:dyDescent="0.25">
      <c r="A33" s="1" t="s">
        <v>45</v>
      </c>
    </row>
    <row r="34" spans="1:10" x14ac:dyDescent="0.2">
      <c r="B34" s="2" t="s">
        <v>46</v>
      </c>
      <c r="C34" s="2">
        <v>2.27</v>
      </c>
      <c r="D34" s="2">
        <v>2.23</v>
      </c>
      <c r="E34" s="2">
        <v>3.88</v>
      </c>
      <c r="F34" s="2">
        <v>3.11</v>
      </c>
      <c r="G34" s="2">
        <f>G6/C34</f>
        <v>57.709251101321584</v>
      </c>
      <c r="H34" s="2">
        <f t="shared" ref="H34:J34" si="3">H6/D34</f>
        <v>21.973094170403588</v>
      </c>
      <c r="I34" s="2">
        <f t="shared" si="3"/>
        <v>29.63917525773196</v>
      </c>
      <c r="J34" s="2">
        <f t="shared" si="3"/>
        <v>32.154340836012864</v>
      </c>
    </row>
    <row r="35" spans="1:10" x14ac:dyDescent="0.2">
      <c r="B35" s="2" t="s">
        <v>47</v>
      </c>
      <c r="C35" s="3">
        <v>0</v>
      </c>
      <c r="D35" s="3">
        <v>0</v>
      </c>
      <c r="E35" s="3">
        <v>0</v>
      </c>
      <c r="F35" s="3">
        <v>0</v>
      </c>
      <c r="G35" s="2" t="s">
        <v>164</v>
      </c>
      <c r="H35" s="2">
        <v>25</v>
      </c>
    </row>
    <row r="36" spans="1:10" x14ac:dyDescent="0.2">
      <c r="B36" s="2" t="s">
        <v>48</v>
      </c>
      <c r="C36" s="3">
        <f>0.67+2.59</f>
        <v>3.26</v>
      </c>
      <c r="D36" s="3">
        <v>0.11</v>
      </c>
      <c r="E36" s="3">
        <v>0</v>
      </c>
      <c r="F36" s="3">
        <v>0</v>
      </c>
      <c r="G36" s="2" t="s">
        <v>163</v>
      </c>
      <c r="H36" s="43">
        <f>E37/E34</f>
        <v>22852.319587628866</v>
      </c>
      <c r="I36" s="17">
        <f>F37/F34</f>
        <v>21016.398713826369</v>
      </c>
    </row>
    <row r="37" spans="1:10" ht="15" x14ac:dyDescent="0.25">
      <c r="B37" s="1" t="s">
        <v>64</v>
      </c>
      <c r="C37" s="18">
        <f>77837+51262</f>
        <v>129099</v>
      </c>
      <c r="D37" s="18">
        <v>54855</v>
      </c>
      <c r="E37" s="18">
        <v>88667</v>
      </c>
      <c r="F37" s="18">
        <v>65361</v>
      </c>
    </row>
    <row r="38" spans="1:10" ht="15" x14ac:dyDescent="0.25">
      <c r="C38" s="11"/>
      <c r="D38" s="11"/>
      <c r="E38" s="11"/>
      <c r="F38" s="11"/>
      <c r="G38" s="1"/>
    </row>
    <row r="39" spans="1:10" ht="15" x14ac:dyDescent="0.25">
      <c r="A39" s="1" t="s">
        <v>68</v>
      </c>
      <c r="C39" s="11"/>
      <c r="D39" s="11"/>
      <c r="E39" s="11"/>
      <c r="F39" s="11"/>
    </row>
    <row r="40" spans="1:10" x14ac:dyDescent="0.2">
      <c r="B40" s="2" t="s">
        <v>31</v>
      </c>
      <c r="C40" s="11"/>
      <c r="D40" s="11"/>
      <c r="E40" s="11"/>
      <c r="F40" s="11"/>
    </row>
    <row r="41" spans="1:10" x14ac:dyDescent="0.2">
      <c r="B41" s="2" t="s">
        <v>69</v>
      </c>
      <c r="C41" s="11"/>
      <c r="D41" s="11"/>
      <c r="E41" s="11"/>
      <c r="F41" s="11"/>
    </row>
    <row r="42" spans="1:10" x14ac:dyDescent="0.2">
      <c r="B42" s="2" t="s">
        <v>70</v>
      </c>
      <c r="C42" s="11"/>
      <c r="D42" s="11"/>
      <c r="E42" s="11"/>
      <c r="F42" s="11"/>
    </row>
    <row r="43" spans="1:10" x14ac:dyDescent="0.2">
      <c r="C43" s="11"/>
      <c r="D43" s="11"/>
      <c r="E43" s="11"/>
      <c r="F43" s="11"/>
    </row>
    <row r="44" spans="1:10" ht="15" x14ac:dyDescent="0.25">
      <c r="A44" s="1" t="s">
        <v>71</v>
      </c>
      <c r="C44" s="11"/>
      <c r="D44" s="11"/>
      <c r="E44" s="11"/>
      <c r="F44" s="11"/>
    </row>
    <row r="45" spans="1:10" x14ac:dyDescent="0.2">
      <c r="C45" s="11"/>
      <c r="D45" s="11"/>
      <c r="E45" s="11"/>
      <c r="F45" s="11"/>
    </row>
    <row r="46" spans="1:10" ht="15" x14ac:dyDescent="0.25">
      <c r="A46" s="1" t="s">
        <v>72</v>
      </c>
      <c r="C46" s="11"/>
      <c r="D46" s="11"/>
      <c r="E46" s="11"/>
      <c r="F46" s="11"/>
    </row>
    <row r="47" spans="1:10" x14ac:dyDescent="0.2">
      <c r="C47" s="11"/>
      <c r="D47" s="11"/>
      <c r="E47" s="11"/>
      <c r="F47" s="11"/>
      <c r="G47" s="4"/>
    </row>
    <row r="48" spans="1:10" x14ac:dyDescent="0.2">
      <c r="A48" s="2" t="s">
        <v>202</v>
      </c>
      <c r="C48" s="4" t="s">
        <v>203</v>
      </c>
      <c r="D48" s="4"/>
      <c r="E48" s="3">
        <v>0.5</v>
      </c>
      <c r="F48" s="4">
        <f>G20*E48</f>
        <v>17156.010229316547</v>
      </c>
      <c r="G48" s="4"/>
    </row>
    <row r="49" spans="1:10" x14ac:dyDescent="0.2">
      <c r="C49" s="4" t="s">
        <v>204</v>
      </c>
      <c r="D49" s="4"/>
      <c r="E49" s="3">
        <v>0.5</v>
      </c>
      <c r="F49" s="4">
        <f>H36*E49</f>
        <v>11426.159793814433</v>
      </c>
    </row>
    <row r="51" spans="1:10" x14ac:dyDescent="0.2">
      <c r="C51" s="5" t="s">
        <v>74</v>
      </c>
      <c r="D51" s="5" t="s">
        <v>75</v>
      </c>
      <c r="E51" s="5" t="s">
        <v>76</v>
      </c>
      <c r="F51" s="5" t="s">
        <v>77</v>
      </c>
      <c r="G51" s="5" t="s">
        <v>78</v>
      </c>
      <c r="H51" s="5" t="s">
        <v>79</v>
      </c>
      <c r="I51" s="5" t="s">
        <v>80</v>
      </c>
      <c r="J51" s="5" t="s">
        <v>81</v>
      </c>
    </row>
    <row r="53" spans="1:10" x14ac:dyDescent="0.2">
      <c r="B53" s="2" t="s">
        <v>207</v>
      </c>
      <c r="C53" s="4">
        <f>IF('1. Schools Data Sheet'!C24&lt;27,+'Staffing Base Data'!$F$48,+'Staffing Base Data'!$F$48*2)</f>
        <v>17156.010229316547</v>
      </c>
      <c r="D53" s="4">
        <f>IF('1. Schools Data Sheet'!D24&lt;27,+'Staffing Base Data'!$F$48,+'Staffing Base Data'!$F$48*2)</f>
        <v>17156.010229316547</v>
      </c>
      <c r="E53" s="4">
        <f>IF('1. Schools Data Sheet'!E24&lt;27,+'Staffing Base Data'!$F$48,+'Staffing Base Data'!$F$48*2)</f>
        <v>17156.010229316547</v>
      </c>
      <c r="F53" s="4">
        <f>IF('1. Schools Data Sheet'!F24&lt;27,+'Staffing Base Data'!$F$48,+'Staffing Base Data'!$F$48*2)</f>
        <v>17156.010229316547</v>
      </c>
      <c r="G53" s="4">
        <f>IF('1. Schools Data Sheet'!G24&lt;27,+'Staffing Base Data'!$F$48,+'Staffing Base Data'!$F$48*2)</f>
        <v>17156.010229316547</v>
      </c>
      <c r="H53" s="4">
        <f>IF('1. Schools Data Sheet'!H24&lt;27,+'Staffing Base Data'!$F$48,+'Staffing Base Data'!$F$48*2)</f>
        <v>34312.020458633095</v>
      </c>
      <c r="I53" s="4">
        <f>IF('1. Schools Data Sheet'!I24&lt;27,+'Staffing Base Data'!$F$48,+'Staffing Base Data'!$F$48*2)</f>
        <v>17156.010229316547</v>
      </c>
      <c r="J53" s="4">
        <f>IF('1. Schools Data Sheet'!J24&lt;27,+'Staffing Base Data'!$F$48,+'Staffing Base Data'!$F$48*2)</f>
        <v>17156.010229316547</v>
      </c>
    </row>
    <row r="54" spans="1:10" x14ac:dyDescent="0.2">
      <c r="B54" s="2" t="s">
        <v>207</v>
      </c>
      <c r="C54" s="4">
        <f>IF('1. Schools Data Sheet'!C24&lt;27,+'Staffing Base Data'!$F$49,+'Staffing Base Data'!$F$49*2)</f>
        <v>11426.159793814433</v>
      </c>
      <c r="D54" s="4">
        <f>IF('1. Schools Data Sheet'!D24&lt;27,+'Staffing Base Data'!$F$49,+'Staffing Base Data'!$F$49*2)</f>
        <v>11426.159793814433</v>
      </c>
      <c r="E54" s="4">
        <f>IF('1. Schools Data Sheet'!E24&lt;27,+'Staffing Base Data'!$F$49,+'Staffing Base Data'!$F$49*2)</f>
        <v>11426.159793814433</v>
      </c>
      <c r="F54" s="4">
        <f>IF('1. Schools Data Sheet'!F24&lt;27,+'Staffing Base Data'!$F$49,+'Staffing Base Data'!$F$49*2)</f>
        <v>11426.159793814433</v>
      </c>
      <c r="G54" s="4">
        <f>IF('1. Schools Data Sheet'!G24&lt;27,+'Staffing Base Data'!$F$49,+'Staffing Base Data'!$F$49*2)</f>
        <v>11426.159793814433</v>
      </c>
      <c r="H54" s="4">
        <f>IF('1. Schools Data Sheet'!H24&lt;27,+'Staffing Base Data'!$F$49,+'Staffing Base Data'!$F$49*2)</f>
        <v>22852.319587628866</v>
      </c>
      <c r="I54" s="4">
        <f>IF('1. Schools Data Sheet'!I24&lt;27,+'Staffing Base Data'!$F$49,+'Staffing Base Data'!$F$49*2)</f>
        <v>11426.159793814433</v>
      </c>
      <c r="J54" s="4">
        <f>IF('1. Schools Data Sheet'!J24&lt;27,+'Staffing Base Data'!$F$49,+'Staffing Base Data'!$F$49*2)</f>
        <v>11426.159793814433</v>
      </c>
    </row>
    <row r="55" spans="1:10" x14ac:dyDescent="0.2">
      <c r="C55" s="4"/>
      <c r="D55" s="4"/>
      <c r="E55" s="4"/>
      <c r="F55" s="4"/>
    </row>
    <row r="56" spans="1:10" x14ac:dyDescent="0.2">
      <c r="B56" s="2" t="s">
        <v>208</v>
      </c>
      <c r="C56" s="4">
        <f>IF('1. Schools Data Sheet'!C25&lt;27,+'Staffing Base Data'!$F$48,+'Staffing Base Data'!$F$48*2)</f>
        <v>17156.010229316547</v>
      </c>
      <c r="D56" s="4">
        <f>IF('1. Schools Data Sheet'!D25&lt;27,+'Staffing Base Data'!$F$48,+'Staffing Base Data'!$F$48*2)</f>
        <v>17156.010229316547</v>
      </c>
      <c r="E56" s="4">
        <f>IF('1. Schools Data Sheet'!E25&lt;27,+'Staffing Base Data'!$F$48,+'Staffing Base Data'!$F$48*2)</f>
        <v>17156.010229316547</v>
      </c>
      <c r="F56" s="4">
        <f>IF('1. Schools Data Sheet'!F25&lt;27,+'Staffing Base Data'!$F$48,+'Staffing Base Data'!$F$48*2)</f>
        <v>17156.010229316547</v>
      </c>
      <c r="G56" s="4">
        <f>IF('1. Schools Data Sheet'!G25&lt;27,+'Staffing Base Data'!$F$48,+'Staffing Base Data'!$F$48*2)</f>
        <v>17156.010229316547</v>
      </c>
      <c r="H56" s="4">
        <f>IF('1. Schools Data Sheet'!H25&lt;27,+'Staffing Base Data'!$F$48,+'Staffing Base Data'!$F$48*2)</f>
        <v>17156.010229316547</v>
      </c>
      <c r="I56" s="4">
        <f>IF('1. Schools Data Sheet'!I25&lt;27,+'Staffing Base Data'!$F$48,+'Staffing Base Data'!$F$48*2)</f>
        <v>17156.010229316547</v>
      </c>
      <c r="J56" s="4">
        <f>IF('1. Schools Data Sheet'!J25&lt;27,+'Staffing Base Data'!$F$48,+'Staffing Base Data'!$F$48*2)</f>
        <v>17156.010229316547</v>
      </c>
    </row>
    <row r="57" spans="1:10" x14ac:dyDescent="0.2">
      <c r="B57" s="2" t="s">
        <v>208</v>
      </c>
      <c r="C57" s="4">
        <f>IF('1. Schools Data Sheet'!C25&lt;27,+'Staffing Base Data'!$F$49,+'Staffing Base Data'!$F$49*2)</f>
        <v>11426.159793814433</v>
      </c>
      <c r="D57" s="4">
        <f>IF('1. Schools Data Sheet'!D25&lt;27,+'Staffing Base Data'!$F$49,+'Staffing Base Data'!$F$49*2)</f>
        <v>11426.159793814433</v>
      </c>
      <c r="E57" s="4">
        <f>IF('1. Schools Data Sheet'!E25&lt;27,+'Staffing Base Data'!$F$49,+'Staffing Base Data'!$F$49*2)</f>
        <v>11426.159793814433</v>
      </c>
      <c r="F57" s="4">
        <f>IF('1. Schools Data Sheet'!F25&lt;27,+'Staffing Base Data'!$F$49,+'Staffing Base Data'!$F$49*2)</f>
        <v>11426.159793814433</v>
      </c>
      <c r="G57" s="4">
        <f>IF('1. Schools Data Sheet'!G25&lt;27,+'Staffing Base Data'!$F$49,+'Staffing Base Data'!$F$49*2)</f>
        <v>11426.159793814433</v>
      </c>
      <c r="H57" s="4">
        <f>IF('1. Schools Data Sheet'!H25&lt;27,+'Staffing Base Data'!$F$49,+'Staffing Base Data'!$F$49*2)</f>
        <v>11426.159793814433</v>
      </c>
      <c r="I57" s="4">
        <f>IF('1. Schools Data Sheet'!I25&lt;27,+'Staffing Base Data'!$F$49,+'Staffing Base Data'!$F$49*2)</f>
        <v>11426.159793814433</v>
      </c>
      <c r="J57" s="4">
        <f>IF('1. Schools Data Sheet'!J25&lt;27,+'Staffing Base Data'!$F$49,+'Staffing Base Data'!$F$49*2)</f>
        <v>11426.159793814433</v>
      </c>
    </row>
    <row r="58" spans="1:10" x14ac:dyDescent="0.2">
      <c r="C58" s="4"/>
      <c r="D58" s="4"/>
      <c r="E58" s="4"/>
      <c r="F58" s="4"/>
    </row>
    <row r="60" spans="1:10" x14ac:dyDescent="0.2">
      <c r="A60" s="33" t="s">
        <v>262</v>
      </c>
      <c r="C60" s="3">
        <v>2196.7449999999999</v>
      </c>
      <c r="D60" s="3">
        <v>673.14700000000005</v>
      </c>
      <c r="E60" s="3">
        <v>977.399</v>
      </c>
      <c r="F60" s="3">
        <v>678.54300000000001</v>
      </c>
    </row>
  </sheetData>
  <sheetProtection password="CAF3" sheet="1" objects="1" scenarios="1" selectLockedCells="1" selectUn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137"/>
  <sheetViews>
    <sheetView showGridLines="0" topLeftCell="A95" zoomScale="80" zoomScaleNormal="80" workbookViewId="0">
      <selection activeCell="I69" sqref="I69"/>
    </sheetView>
  </sheetViews>
  <sheetFormatPr defaultColWidth="9.125" defaultRowHeight="12.75" x14ac:dyDescent="0.2"/>
  <cols>
    <col min="1" max="1" width="43.125" style="29" customWidth="1"/>
    <col min="2" max="2" width="11" style="38" customWidth="1"/>
    <col min="3" max="3" width="10.375" style="29" customWidth="1"/>
    <col min="4" max="4" width="11.125" style="29" customWidth="1"/>
    <col min="5" max="6" width="11" style="29" customWidth="1"/>
    <col min="7" max="7" width="11.75" style="29" customWidth="1"/>
    <col min="8" max="8" width="11.125" style="29" customWidth="1"/>
    <col min="9" max="9" width="11" style="29" customWidth="1"/>
    <col min="10" max="10" width="12.25" style="29" bestFit="1" customWidth="1"/>
    <col min="11" max="11" width="12" style="29" customWidth="1"/>
    <col min="12" max="12" width="3" style="29" customWidth="1"/>
    <col min="13" max="13" width="47.25" style="29" customWidth="1"/>
    <col min="14" max="17" width="9.625" style="29" bestFit="1" customWidth="1"/>
    <col min="18" max="18" width="10" style="29" bestFit="1" customWidth="1"/>
    <col min="19" max="21" width="9.625" style="29" bestFit="1" customWidth="1"/>
    <col min="22" max="22" width="10.75" style="29" bestFit="1" customWidth="1"/>
    <col min="23" max="23" width="10.375" style="29" customWidth="1"/>
    <col min="24" max="16384" width="9.125" style="29"/>
  </cols>
  <sheetData>
    <row r="1" spans="1:23" s="32" customFormat="1" ht="17.25" customHeight="1" x14ac:dyDescent="0.25">
      <c r="A1" s="96" t="s">
        <v>219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M1" s="291" t="s">
        <v>255</v>
      </c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3" spans="1:23" s="326" customFormat="1" ht="15.75" x14ac:dyDescent="0.25">
      <c r="A3" s="325" t="s">
        <v>129</v>
      </c>
      <c r="B3" s="364"/>
      <c r="M3" s="325" t="s">
        <v>249</v>
      </c>
    </row>
    <row r="4" spans="1:23" s="326" customFormat="1" x14ac:dyDescent="0.2">
      <c r="A4" s="365"/>
      <c r="B4" s="364"/>
      <c r="M4" s="365"/>
    </row>
    <row r="5" spans="1:23" s="326" customFormat="1" ht="15" x14ac:dyDescent="0.25">
      <c r="A5" s="366" t="str">
        <f>'1. Schools Data Sheet'!C3</f>
        <v>For the Period September 2016 to August 2017</v>
      </c>
      <c r="B5" s="364"/>
      <c r="M5" s="366" t="str">
        <f>A5</f>
        <v>For the Period September 2016 to August 2017</v>
      </c>
    </row>
    <row r="6" spans="1:23" s="326" customFormat="1" ht="13.5" thickBot="1" x14ac:dyDescent="0.25">
      <c r="B6" s="364"/>
    </row>
    <row r="7" spans="1:23" ht="39" thickBot="1" x14ac:dyDescent="0.25">
      <c r="A7" s="47"/>
      <c r="B7" s="67" t="str">
        <f>'2. Projected Funding'!C7</f>
        <v>School 1</v>
      </c>
      <c r="C7" s="68" t="str">
        <f>'2. Projected Funding'!D7</f>
        <v>School 2</v>
      </c>
      <c r="D7" s="68" t="str">
        <f>'2. Projected Funding'!E7</f>
        <v>School 3</v>
      </c>
      <c r="E7" s="68" t="str">
        <f>'2. Projected Funding'!F7</f>
        <v>School 4</v>
      </c>
      <c r="F7" s="68" t="str">
        <f>'2. Projected Funding'!G7</f>
        <v>School 5</v>
      </c>
      <c r="G7" s="68" t="str">
        <f>'2. Projected Funding'!H7</f>
        <v>School 6</v>
      </c>
      <c r="H7" s="68" t="str">
        <f>'2. Projected Funding'!I7</f>
        <v>School 7</v>
      </c>
      <c r="I7" s="69" t="str">
        <f>'2. Projected Funding'!J7</f>
        <v>School 8</v>
      </c>
      <c r="J7" s="111" t="s">
        <v>169</v>
      </c>
      <c r="K7" s="158" t="s">
        <v>200</v>
      </c>
      <c r="M7" s="160"/>
      <c r="N7" s="161" t="str">
        <f>B7</f>
        <v>School 1</v>
      </c>
      <c r="O7" s="162" t="str">
        <f>C7</f>
        <v>School 2</v>
      </c>
      <c r="P7" s="162" t="str">
        <f t="shared" ref="P7:T7" si="0">D7</f>
        <v>School 3</v>
      </c>
      <c r="Q7" s="162" t="str">
        <f t="shared" si="0"/>
        <v>School 4</v>
      </c>
      <c r="R7" s="162" t="str">
        <f t="shared" si="0"/>
        <v>School 5</v>
      </c>
      <c r="S7" s="162" t="str">
        <f t="shared" si="0"/>
        <v>School 6</v>
      </c>
      <c r="T7" s="162" t="str">
        <f t="shared" si="0"/>
        <v>School 7</v>
      </c>
      <c r="U7" s="163" t="str">
        <f>I7</f>
        <v>School 8</v>
      </c>
      <c r="V7" s="164" t="s">
        <v>169</v>
      </c>
      <c r="W7" s="165" t="s">
        <v>200</v>
      </c>
    </row>
    <row r="8" spans="1:23" x14ac:dyDescent="0.2">
      <c r="A8" s="48" t="s">
        <v>97</v>
      </c>
      <c r="B8" s="142"/>
      <c r="C8" s="143"/>
      <c r="D8" s="144"/>
      <c r="E8" s="145"/>
      <c r="F8" s="145"/>
      <c r="G8" s="145"/>
      <c r="H8" s="145"/>
      <c r="I8" s="146"/>
      <c r="J8" s="104"/>
      <c r="K8" s="150"/>
      <c r="L8" s="30"/>
      <c r="M8" s="166" t="s">
        <v>97</v>
      </c>
      <c r="N8" s="167"/>
      <c r="O8" s="168"/>
      <c r="P8" s="169"/>
      <c r="Q8" s="170"/>
      <c r="R8" s="170"/>
      <c r="S8" s="170"/>
      <c r="T8" s="170"/>
      <c r="U8" s="171"/>
      <c r="V8" s="172"/>
      <c r="W8" s="173"/>
    </row>
    <row r="9" spans="1:23" ht="15" x14ac:dyDescent="0.25">
      <c r="A9" s="51" t="s">
        <v>162</v>
      </c>
      <c r="B9" s="147">
        <f>IF('1. Schools Data Sheet'!C7&gt;0,ROUND('Staffing Base Data'!$J$11,0),0)</f>
        <v>70319</v>
      </c>
      <c r="C9" s="137">
        <f>IF('1. Schools Data Sheet'!D7&gt;0,ROUND('Staffing Base Data'!$J$11,0),0)</f>
        <v>70319</v>
      </c>
      <c r="D9" s="137">
        <f>IF('1. Schools Data Sheet'!E7&gt;0,ROUND('Staffing Base Data'!$J$11,0),0)</f>
        <v>70319</v>
      </c>
      <c r="E9" s="136">
        <f>IF('1. Schools Data Sheet'!F7&gt;0,ROUND('Staffing Base Data'!$J$11,0),0)</f>
        <v>70319</v>
      </c>
      <c r="F9" s="137">
        <f>IF('1. Schools Data Sheet'!G7&gt;0,ROUND('Staffing Base Data'!$J$11,0),0)</f>
        <v>70319</v>
      </c>
      <c r="G9" s="137">
        <f>IF('1. Schools Data Sheet'!H7&gt;0,ROUND('Staffing Base Data'!$J$11,0),0)</f>
        <v>70319</v>
      </c>
      <c r="H9" s="137">
        <f>IF('1. Schools Data Sheet'!I7&gt;0,ROUND('Staffing Base Data'!$J$11,0),0)</f>
        <v>70319</v>
      </c>
      <c r="I9" s="148">
        <f>IF('1. Schools Data Sheet'!J7&gt;0,ROUND('Staffing Base Data'!$J$11,0),0)</f>
        <v>70319</v>
      </c>
      <c r="J9" s="104">
        <f>SUM(B9:I9)</f>
        <v>562552</v>
      </c>
      <c r="K9" s="151"/>
      <c r="L9" s="30"/>
      <c r="M9" s="174" t="s">
        <v>162</v>
      </c>
      <c r="N9" s="226">
        <f>B9</f>
        <v>70319</v>
      </c>
      <c r="O9" s="227">
        <f>C9</f>
        <v>70319</v>
      </c>
      <c r="P9" s="227">
        <f t="shared" ref="P9:T9" si="1">D9</f>
        <v>70319</v>
      </c>
      <c r="Q9" s="227">
        <f t="shared" si="1"/>
        <v>70319</v>
      </c>
      <c r="R9" s="227">
        <f t="shared" si="1"/>
        <v>70319</v>
      </c>
      <c r="S9" s="227">
        <f t="shared" si="1"/>
        <v>70319</v>
      </c>
      <c r="T9" s="227">
        <f t="shared" si="1"/>
        <v>70319</v>
      </c>
      <c r="U9" s="228">
        <f>I9</f>
        <v>70319</v>
      </c>
      <c r="V9" s="172">
        <f>SUM(N9:U9)</f>
        <v>562552</v>
      </c>
      <c r="W9" s="175"/>
    </row>
    <row r="10" spans="1:23" ht="15" x14ac:dyDescent="0.25">
      <c r="A10" s="51" t="s">
        <v>31</v>
      </c>
      <c r="B10" s="100">
        <f>ROUND('2. Projected Funding'!C$9/25*'Staffing Base Data'!$G$20,0)</f>
        <v>68624</v>
      </c>
      <c r="C10" s="52">
        <f>ROUND('2. Projected Funding'!D$9/25*'Staffing Base Data'!$G$20,0)</f>
        <v>91956</v>
      </c>
      <c r="D10" s="52">
        <f>ROUND('2. Projected Funding'!E$9/25*'Staffing Base Data'!$G$20,0)</f>
        <v>89211</v>
      </c>
      <c r="E10" s="52">
        <f>ROUND('2. Projected Funding'!F$9/25*'Staffing Base Data'!$G$20,0)</f>
        <v>45292</v>
      </c>
      <c r="F10" s="52">
        <f>ROUND('2. Projected Funding'!G$9/25*'Staffing Base Data'!$G$20,0)</f>
        <v>112543</v>
      </c>
      <c r="G10" s="52">
        <f>ROUND('2. Projected Funding'!H$9/25*'Staffing Base Data'!$G$20,0)</f>
        <v>138621</v>
      </c>
      <c r="H10" s="52">
        <f>ROUND('2. Projected Funding'!I$9/25*'Staffing Base Data'!$G$20,0)</f>
        <v>142738</v>
      </c>
      <c r="I10" s="134">
        <f>ROUND('2. Projected Funding'!J$9/25*'Staffing Base Data'!$G$20,0)</f>
        <v>150973</v>
      </c>
      <c r="J10" s="104">
        <f>SUM(B10:I10)</f>
        <v>839958</v>
      </c>
      <c r="K10" s="151"/>
      <c r="L10" s="30"/>
      <c r="M10" s="174" t="s">
        <v>31</v>
      </c>
      <c r="N10" s="226">
        <f>B10</f>
        <v>68624</v>
      </c>
      <c r="O10" s="227">
        <f t="shared" ref="O10:O14" si="2">C10</f>
        <v>91956</v>
      </c>
      <c r="P10" s="227">
        <f t="shared" ref="P10:P14" si="3">D10</f>
        <v>89211</v>
      </c>
      <c r="Q10" s="227">
        <f t="shared" ref="Q10:Q14" si="4">E10</f>
        <v>45292</v>
      </c>
      <c r="R10" s="227">
        <f>F10</f>
        <v>112543</v>
      </c>
      <c r="S10" s="227">
        <f t="shared" ref="S10:S14" si="5">G10</f>
        <v>138621</v>
      </c>
      <c r="T10" s="227">
        <f t="shared" ref="T10:T14" si="6">H10</f>
        <v>142738</v>
      </c>
      <c r="U10" s="228">
        <f t="shared" ref="U10:U14" si="7">I10</f>
        <v>150973</v>
      </c>
      <c r="V10" s="172">
        <f t="shared" ref="V10:V14" si="8">SUM(N10:U10)</f>
        <v>839958</v>
      </c>
      <c r="W10" s="175"/>
    </row>
    <row r="11" spans="1:23" ht="15" x14ac:dyDescent="0.25">
      <c r="A11" s="51" t="s">
        <v>45</v>
      </c>
      <c r="B11" s="100">
        <f>ROUND('2. Projected Funding'!C$9/25*'Staffing Base Data'!$H$36,0)</f>
        <v>45705</v>
      </c>
      <c r="C11" s="52">
        <f>ROUND('2. Projected Funding'!D$9/25*'Staffing Base Data'!$H$36,0)</f>
        <v>61244</v>
      </c>
      <c r="D11" s="52">
        <f>ROUND('2. Projected Funding'!E$9/25*'Staffing Base Data'!$H$36,0)</f>
        <v>59416</v>
      </c>
      <c r="E11" s="52">
        <f>ROUND('2. Projected Funding'!F$9/25*'Staffing Base Data'!$H$36,0)</f>
        <v>30165</v>
      </c>
      <c r="F11" s="52">
        <f>ROUND('2. Projected Funding'!G$9/25*'Staffing Base Data'!$H$36,0)</f>
        <v>74956</v>
      </c>
      <c r="G11" s="52">
        <f>ROUND('2. Projected Funding'!H$9/25*'Staffing Base Data'!$H$36,0)</f>
        <v>92323</v>
      </c>
      <c r="H11" s="52">
        <f>ROUND('2. Projected Funding'!I$9/25*'Staffing Base Data'!$H$36,0)</f>
        <v>95066</v>
      </c>
      <c r="I11" s="134">
        <f>ROUND('2. Projected Funding'!J$9/25*'Staffing Base Data'!$H$36,0)</f>
        <v>100550</v>
      </c>
      <c r="J11" s="104">
        <f t="shared" ref="J11:J14" si="9">SUM(B11:I11)</f>
        <v>559425</v>
      </c>
      <c r="K11" s="151"/>
      <c r="L11" s="30"/>
      <c r="M11" s="174" t="s">
        <v>45</v>
      </c>
      <c r="N11" s="226">
        <f t="shared" ref="N11:N14" si="10">B11</f>
        <v>45705</v>
      </c>
      <c r="O11" s="227">
        <f t="shared" si="2"/>
        <v>61244</v>
      </c>
      <c r="P11" s="227">
        <f t="shared" si="3"/>
        <v>59416</v>
      </c>
      <c r="Q11" s="227">
        <f t="shared" si="4"/>
        <v>30165</v>
      </c>
      <c r="R11" s="227">
        <f t="shared" ref="R11:R14" si="11">F11</f>
        <v>74956</v>
      </c>
      <c r="S11" s="227">
        <f t="shared" si="5"/>
        <v>92323</v>
      </c>
      <c r="T11" s="227">
        <f t="shared" si="6"/>
        <v>95066</v>
      </c>
      <c r="U11" s="228">
        <f t="shared" si="7"/>
        <v>100550</v>
      </c>
      <c r="V11" s="172">
        <f t="shared" si="8"/>
        <v>559425</v>
      </c>
      <c r="W11" s="175"/>
    </row>
    <row r="12" spans="1:23" ht="15" x14ac:dyDescent="0.25">
      <c r="A12" s="51" t="s">
        <v>130</v>
      </c>
      <c r="B12" s="250">
        <f>IF('1. Schools Data Sheet'!C7&gt;0,ROUND('Staffing Base Data'!$I$29,0),0)</f>
        <v>19910</v>
      </c>
      <c r="C12" s="138">
        <f>IF('1. Schools Data Sheet'!D7&gt;0,ROUND('Staffing Base Data'!$I$29,0),0)</f>
        <v>19910</v>
      </c>
      <c r="D12" s="138">
        <f>IF('1. Schools Data Sheet'!E7&gt;0,ROUND('Staffing Base Data'!$I$29,0),0)</f>
        <v>19910</v>
      </c>
      <c r="E12" s="138">
        <f>IF('1. Schools Data Sheet'!F7&gt;0,ROUND('Staffing Base Data'!$I$29,0),0)</f>
        <v>19910</v>
      </c>
      <c r="F12" s="138">
        <f>IF('1. Schools Data Sheet'!G7&gt;0,ROUND('Staffing Base Data'!$I$29,0),0)</f>
        <v>19910</v>
      </c>
      <c r="G12" s="138">
        <f>IF('1. Schools Data Sheet'!H7&gt;0,ROUND('Staffing Base Data'!$I$29,0),0)</f>
        <v>19910</v>
      </c>
      <c r="H12" s="138">
        <f>IF('1. Schools Data Sheet'!I7&gt;0,ROUND('Staffing Base Data'!$I$29,0),0)</f>
        <v>19910</v>
      </c>
      <c r="I12" s="149">
        <f>IF('1. Schools Data Sheet'!J7&gt;0,ROUND('Staffing Base Data'!$I$29,0),0)</f>
        <v>19910</v>
      </c>
      <c r="J12" s="104">
        <f t="shared" si="9"/>
        <v>159280</v>
      </c>
      <c r="K12" s="151"/>
      <c r="L12" s="30"/>
      <c r="M12" s="174" t="s">
        <v>130</v>
      </c>
      <c r="N12" s="226">
        <f t="shared" si="10"/>
        <v>19910</v>
      </c>
      <c r="O12" s="227">
        <f>C12</f>
        <v>19910</v>
      </c>
      <c r="P12" s="227">
        <f t="shared" si="3"/>
        <v>19910</v>
      </c>
      <c r="Q12" s="227">
        <f t="shared" si="4"/>
        <v>19910</v>
      </c>
      <c r="R12" s="227">
        <f t="shared" si="11"/>
        <v>19910</v>
      </c>
      <c r="S12" s="227">
        <f t="shared" si="5"/>
        <v>19910</v>
      </c>
      <c r="T12" s="227">
        <f t="shared" si="6"/>
        <v>19910</v>
      </c>
      <c r="U12" s="228">
        <f t="shared" si="7"/>
        <v>19910</v>
      </c>
      <c r="V12" s="172">
        <f t="shared" si="8"/>
        <v>159280</v>
      </c>
      <c r="W12" s="175"/>
    </row>
    <row r="13" spans="1:23" ht="15" x14ac:dyDescent="0.25">
      <c r="A13" s="51" t="s">
        <v>252</v>
      </c>
      <c r="B13" s="250">
        <f>IF('1. Schools Data Sheet'!C7&gt;0,ROUND('Staffing Base Data'!$I$30,0),0)</f>
        <v>9310</v>
      </c>
      <c r="C13" s="138">
        <f>IF('1. Schools Data Sheet'!D7&gt;0,ROUND('Staffing Base Data'!$I$30,0),0)</f>
        <v>9310</v>
      </c>
      <c r="D13" s="138">
        <f>IF('1. Schools Data Sheet'!E7&gt;0,ROUND('Staffing Base Data'!$I$30,0),0)</f>
        <v>9310</v>
      </c>
      <c r="E13" s="138">
        <f>IF('1. Schools Data Sheet'!F7&gt;0,ROUND('Staffing Base Data'!$I$30,0),0)</f>
        <v>9310</v>
      </c>
      <c r="F13" s="138">
        <f>IF('1. Schools Data Sheet'!G7&gt;0,ROUND('Staffing Base Data'!$I$30,0),0)</f>
        <v>9310</v>
      </c>
      <c r="G13" s="138">
        <f>IF('1. Schools Data Sheet'!H7&gt;0,ROUND('Staffing Base Data'!$I$30,0),0)</f>
        <v>9310</v>
      </c>
      <c r="H13" s="138">
        <f>IF('1. Schools Data Sheet'!I7&gt;0,ROUND('Staffing Base Data'!$I$30,0),0)</f>
        <v>9310</v>
      </c>
      <c r="I13" s="149">
        <f>IF('1. Schools Data Sheet'!J7&gt;0,ROUND('Staffing Base Data'!$I$30,0),0)</f>
        <v>9310</v>
      </c>
      <c r="J13" s="104">
        <f t="shared" si="9"/>
        <v>74480</v>
      </c>
      <c r="K13" s="151"/>
      <c r="L13" s="30"/>
      <c r="M13" s="174" t="s">
        <v>252</v>
      </c>
      <c r="N13" s="226">
        <f t="shared" si="10"/>
        <v>9310</v>
      </c>
      <c r="O13" s="227">
        <f t="shared" si="2"/>
        <v>9310</v>
      </c>
      <c r="P13" s="227">
        <f t="shared" si="3"/>
        <v>9310</v>
      </c>
      <c r="Q13" s="227">
        <f t="shared" si="4"/>
        <v>9310</v>
      </c>
      <c r="R13" s="227">
        <f t="shared" si="11"/>
        <v>9310</v>
      </c>
      <c r="S13" s="227">
        <f t="shared" si="5"/>
        <v>9310</v>
      </c>
      <c r="T13" s="227">
        <f t="shared" si="6"/>
        <v>9310</v>
      </c>
      <c r="U13" s="228">
        <f t="shared" si="7"/>
        <v>9310</v>
      </c>
      <c r="V13" s="172">
        <f t="shared" si="8"/>
        <v>74480</v>
      </c>
      <c r="W13" s="175"/>
    </row>
    <row r="14" spans="1:23" ht="15" x14ac:dyDescent="0.25">
      <c r="A14" s="51" t="s">
        <v>131</v>
      </c>
      <c r="B14" s="100">
        <f>B110*0.9</f>
        <v>87230.52</v>
      </c>
      <c r="C14" s="52">
        <f t="shared" ref="C14:I14" si="12">C110*0.9</f>
        <v>43615.26</v>
      </c>
      <c r="D14" s="52">
        <f t="shared" si="12"/>
        <v>0</v>
      </c>
      <c r="E14" s="52">
        <f t="shared" si="12"/>
        <v>0</v>
      </c>
      <c r="F14" s="52">
        <f t="shared" si="12"/>
        <v>0</v>
      </c>
      <c r="G14" s="52">
        <f t="shared" si="12"/>
        <v>130845.78000000001</v>
      </c>
      <c r="H14" s="52">
        <f t="shared" si="12"/>
        <v>87230.52</v>
      </c>
      <c r="I14" s="134">
        <f t="shared" si="12"/>
        <v>0</v>
      </c>
      <c r="J14" s="104">
        <f t="shared" si="9"/>
        <v>348922.08</v>
      </c>
      <c r="K14" s="151"/>
      <c r="L14" s="30"/>
      <c r="M14" s="174" t="s">
        <v>131</v>
      </c>
      <c r="N14" s="226">
        <f t="shared" si="10"/>
        <v>87230.52</v>
      </c>
      <c r="O14" s="227">
        <f t="shared" si="2"/>
        <v>43615.26</v>
      </c>
      <c r="P14" s="227">
        <f t="shared" si="3"/>
        <v>0</v>
      </c>
      <c r="Q14" s="227">
        <f t="shared" si="4"/>
        <v>0</v>
      </c>
      <c r="R14" s="227">
        <f t="shared" si="11"/>
        <v>0</v>
      </c>
      <c r="S14" s="227">
        <f t="shared" si="5"/>
        <v>130845.78000000001</v>
      </c>
      <c r="T14" s="227">
        <f t="shared" si="6"/>
        <v>87230.52</v>
      </c>
      <c r="U14" s="228">
        <f t="shared" si="7"/>
        <v>0</v>
      </c>
      <c r="V14" s="172">
        <f t="shared" si="8"/>
        <v>348922.08</v>
      </c>
      <c r="W14" s="175"/>
    </row>
    <row r="15" spans="1:23" x14ac:dyDescent="0.2">
      <c r="A15" s="51"/>
      <c r="B15" s="71"/>
      <c r="C15" s="52"/>
      <c r="D15" s="52"/>
      <c r="E15" s="134"/>
      <c r="F15" s="52"/>
      <c r="G15" s="52"/>
      <c r="H15" s="52"/>
      <c r="I15" s="140"/>
      <c r="J15" s="104"/>
      <c r="K15" s="151"/>
      <c r="L15" s="30"/>
      <c r="M15" s="174"/>
      <c r="N15" s="176"/>
      <c r="O15" s="177"/>
      <c r="P15" s="177"/>
      <c r="Q15" s="178"/>
      <c r="R15" s="177"/>
      <c r="S15" s="177"/>
      <c r="T15" s="177"/>
      <c r="U15" s="179"/>
      <c r="V15" s="172"/>
      <c r="W15" s="175"/>
    </row>
    <row r="16" spans="1:23" s="28" customFormat="1" ht="13.5" thickBot="1" x14ac:dyDescent="0.25">
      <c r="A16" s="53" t="s">
        <v>132</v>
      </c>
      <c r="B16" s="76">
        <f t="shared" ref="B16:J16" si="13">SUM(B9:B15)</f>
        <v>301098.52</v>
      </c>
      <c r="C16" s="77">
        <f t="shared" si="13"/>
        <v>296354.26</v>
      </c>
      <c r="D16" s="77">
        <f t="shared" si="13"/>
        <v>248166</v>
      </c>
      <c r="E16" s="135">
        <f t="shared" si="13"/>
        <v>174996</v>
      </c>
      <c r="F16" s="77">
        <f t="shared" si="13"/>
        <v>287038</v>
      </c>
      <c r="G16" s="77">
        <f t="shared" si="13"/>
        <v>461328.78</v>
      </c>
      <c r="H16" s="77">
        <f t="shared" si="13"/>
        <v>424573.52</v>
      </c>
      <c r="I16" s="141">
        <f t="shared" si="13"/>
        <v>351062</v>
      </c>
      <c r="J16" s="105">
        <f t="shared" si="13"/>
        <v>2544617.08</v>
      </c>
      <c r="K16" s="152">
        <f>J16/(J$108+(J$110))</f>
        <v>0.74851845465363498</v>
      </c>
      <c r="L16" s="102"/>
      <c r="M16" s="180" t="s">
        <v>132</v>
      </c>
      <c r="N16" s="181">
        <f t="shared" ref="N16:V16" si="14">SUM(N9:N15)</f>
        <v>301098.52</v>
      </c>
      <c r="O16" s="182">
        <f t="shared" si="14"/>
        <v>296354.26</v>
      </c>
      <c r="P16" s="182">
        <f t="shared" si="14"/>
        <v>248166</v>
      </c>
      <c r="Q16" s="183">
        <f t="shared" si="14"/>
        <v>174996</v>
      </c>
      <c r="R16" s="182">
        <f t="shared" si="14"/>
        <v>287038</v>
      </c>
      <c r="S16" s="182">
        <f t="shared" si="14"/>
        <v>461328.78</v>
      </c>
      <c r="T16" s="182">
        <f t="shared" si="14"/>
        <v>424573.52</v>
      </c>
      <c r="U16" s="184">
        <f t="shared" si="14"/>
        <v>351062</v>
      </c>
      <c r="V16" s="185">
        <f t="shared" si="14"/>
        <v>2544617.08</v>
      </c>
      <c r="W16" s="186">
        <f>V16/(V$108+(V$110))</f>
        <v>0.74851845465363498</v>
      </c>
    </row>
    <row r="17" spans="1:23" x14ac:dyDescent="0.2">
      <c r="A17" s="51"/>
      <c r="B17" s="71"/>
      <c r="C17" s="52"/>
      <c r="D17" s="52"/>
      <c r="E17" s="134"/>
      <c r="F17" s="52"/>
      <c r="G17" s="52"/>
      <c r="H17" s="52"/>
      <c r="I17" s="140"/>
      <c r="J17" s="104"/>
      <c r="K17" s="151"/>
      <c r="L17" s="30"/>
      <c r="M17" s="174"/>
      <c r="N17" s="176"/>
      <c r="O17" s="177"/>
      <c r="P17" s="177"/>
      <c r="Q17" s="178"/>
      <c r="R17" s="177"/>
      <c r="S17" s="177"/>
      <c r="T17" s="177"/>
      <c r="U17" s="179"/>
      <c r="V17" s="172"/>
      <c r="W17" s="175"/>
    </row>
    <row r="18" spans="1:23" x14ac:dyDescent="0.2">
      <c r="A18" s="53" t="s">
        <v>98</v>
      </c>
      <c r="B18" s="71"/>
      <c r="C18" s="52"/>
      <c r="D18" s="52"/>
      <c r="E18" s="134"/>
      <c r="F18" s="52"/>
      <c r="G18" s="52"/>
      <c r="H18" s="52"/>
      <c r="I18" s="140"/>
      <c r="J18" s="104"/>
      <c r="K18" s="151"/>
      <c r="L18" s="30"/>
      <c r="M18" s="180" t="s">
        <v>98</v>
      </c>
      <c r="N18" s="176"/>
      <c r="O18" s="177"/>
      <c r="P18" s="177"/>
      <c r="Q18" s="178"/>
      <c r="R18" s="177"/>
      <c r="S18" s="177"/>
      <c r="T18" s="177"/>
      <c r="U18" s="179"/>
      <c r="V18" s="172"/>
      <c r="W18" s="175"/>
    </row>
    <row r="19" spans="1:23" ht="15" x14ac:dyDescent="0.25">
      <c r="A19" s="51" t="s">
        <v>166</v>
      </c>
      <c r="B19" s="71">
        <f>ROUND('2. Projected Funding'!C9/25*'Expenditure Base Data'!$K$9,0)</f>
        <v>7546</v>
      </c>
      <c r="C19" s="52">
        <f>ROUND('2. Projected Funding'!D$9/25*'Expenditure Base Data'!$K$9,0)</f>
        <v>10111</v>
      </c>
      <c r="D19" s="52">
        <f>ROUND('2. Projected Funding'!E$9/25*'Expenditure Base Data'!$K$9,0)</f>
        <v>9809</v>
      </c>
      <c r="E19" s="134">
        <f>ROUND('2. Projected Funding'!F$9/25*'Expenditure Base Data'!$K$9,0)</f>
        <v>4980</v>
      </c>
      <c r="F19" s="52">
        <f>ROUND('2. Projected Funding'!G$9/25*'Expenditure Base Data'!$K$9,0)</f>
        <v>12375</v>
      </c>
      <c r="G19" s="52">
        <f>ROUND('2. Projected Funding'!H$9/25*'Expenditure Base Data'!$K$9,0)</f>
        <v>15242</v>
      </c>
      <c r="H19" s="52">
        <f>ROUND('2. Projected Funding'!I$9/25*'Expenditure Base Data'!$K$9,0)</f>
        <v>15695</v>
      </c>
      <c r="I19" s="140">
        <f>ROUND('2. Projected Funding'!J$9/25*'Expenditure Base Data'!$K$9,0)</f>
        <v>16600</v>
      </c>
      <c r="J19" s="104">
        <f t="shared" ref="J19:J21" si="15">SUM(B19:I19)</f>
        <v>92358</v>
      </c>
      <c r="K19" s="151"/>
      <c r="L19" s="30"/>
      <c r="M19" s="174" t="s">
        <v>166</v>
      </c>
      <c r="N19" s="226">
        <f t="shared" ref="N19:N21" si="16">B19</f>
        <v>7546</v>
      </c>
      <c r="O19" s="227">
        <f t="shared" ref="O19:O21" si="17">C19</f>
        <v>10111</v>
      </c>
      <c r="P19" s="227">
        <f t="shared" ref="P19:P21" si="18">D19</f>
        <v>9809</v>
      </c>
      <c r="Q19" s="227">
        <f t="shared" ref="Q19:Q21" si="19">E19</f>
        <v>4980</v>
      </c>
      <c r="R19" s="227">
        <f t="shared" ref="R19:R21" si="20">F19</f>
        <v>12375</v>
      </c>
      <c r="S19" s="227">
        <f t="shared" ref="S19:S21" si="21">G19</f>
        <v>15242</v>
      </c>
      <c r="T19" s="227">
        <f t="shared" ref="T19:T21" si="22">H19</f>
        <v>15695</v>
      </c>
      <c r="U19" s="228">
        <f t="shared" ref="U19:U21" si="23">I19</f>
        <v>16600</v>
      </c>
      <c r="V19" s="172">
        <f t="shared" ref="V19:V21" si="24">SUM(N19:U19)</f>
        <v>92358</v>
      </c>
      <c r="W19" s="175"/>
    </row>
    <row r="20" spans="1:23" ht="15" x14ac:dyDescent="0.25">
      <c r="A20" s="51" t="s">
        <v>115</v>
      </c>
      <c r="B20" s="71">
        <f>IF('1. Schools Data Sheet'!C7&gt;0,600,0)</f>
        <v>600</v>
      </c>
      <c r="C20" s="52">
        <f>IF('1. Schools Data Sheet'!D7&gt;0,600,0)</f>
        <v>600</v>
      </c>
      <c r="D20" s="52">
        <f>IF('1. Schools Data Sheet'!E7&gt;0,600,0)</f>
        <v>600</v>
      </c>
      <c r="E20" s="134">
        <f>IF('1. Schools Data Sheet'!F7&gt;0,600,0)</f>
        <v>600</v>
      </c>
      <c r="F20" s="52">
        <f>IF('1. Schools Data Sheet'!G7&gt;0,600,0)</f>
        <v>600</v>
      </c>
      <c r="G20" s="52">
        <f>IF('1. Schools Data Sheet'!H7&gt;0,600,0)</f>
        <v>600</v>
      </c>
      <c r="H20" s="52">
        <f>IF('1. Schools Data Sheet'!I7&gt;0,600,0)</f>
        <v>600</v>
      </c>
      <c r="I20" s="140">
        <f>IF('1. Schools Data Sheet'!J7&gt;0,600,0)</f>
        <v>600</v>
      </c>
      <c r="J20" s="104">
        <f t="shared" si="15"/>
        <v>4800</v>
      </c>
      <c r="K20" s="151"/>
      <c r="L20" s="30"/>
      <c r="M20" s="174" t="s">
        <v>115</v>
      </c>
      <c r="N20" s="226">
        <f t="shared" si="16"/>
        <v>600</v>
      </c>
      <c r="O20" s="227">
        <f t="shared" si="17"/>
        <v>600</v>
      </c>
      <c r="P20" s="227">
        <f t="shared" si="18"/>
        <v>600</v>
      </c>
      <c r="Q20" s="227">
        <f t="shared" si="19"/>
        <v>600</v>
      </c>
      <c r="R20" s="227">
        <f t="shared" si="20"/>
        <v>600</v>
      </c>
      <c r="S20" s="227">
        <f t="shared" si="21"/>
        <v>600</v>
      </c>
      <c r="T20" s="227">
        <f t="shared" si="22"/>
        <v>600</v>
      </c>
      <c r="U20" s="228">
        <f t="shared" si="23"/>
        <v>600</v>
      </c>
      <c r="V20" s="172">
        <f t="shared" si="24"/>
        <v>4800</v>
      </c>
      <c r="W20" s="175"/>
    </row>
    <row r="21" spans="1:23" ht="15" x14ac:dyDescent="0.25">
      <c r="A21" s="51" t="s">
        <v>116</v>
      </c>
      <c r="B21" s="71">
        <f>IF('1. Schools Data Sheet'!C7&gt;0,500,0)</f>
        <v>500</v>
      </c>
      <c r="C21" s="52">
        <f>IF('1. Schools Data Sheet'!D7&gt;0,500,0)</f>
        <v>500</v>
      </c>
      <c r="D21" s="52">
        <f>IF('1. Schools Data Sheet'!E7&gt;0,500,0)</f>
        <v>500</v>
      </c>
      <c r="E21" s="134">
        <f>IF('1. Schools Data Sheet'!F7&gt;0,500,0)</f>
        <v>500</v>
      </c>
      <c r="F21" s="52">
        <f>IF('1. Schools Data Sheet'!G7&gt;0,500,0)</f>
        <v>500</v>
      </c>
      <c r="G21" s="52">
        <f>IF('1. Schools Data Sheet'!H7&gt;0,500,0)</f>
        <v>500</v>
      </c>
      <c r="H21" s="52">
        <f>IF('1. Schools Data Sheet'!I7&gt;0,500,0)</f>
        <v>500</v>
      </c>
      <c r="I21" s="140">
        <f>IF('1. Schools Data Sheet'!J7&gt;0,500,0)</f>
        <v>500</v>
      </c>
      <c r="J21" s="104">
        <f t="shared" si="15"/>
        <v>4000</v>
      </c>
      <c r="K21" s="151"/>
      <c r="L21" s="30"/>
      <c r="M21" s="174" t="s">
        <v>116</v>
      </c>
      <c r="N21" s="226">
        <f t="shared" si="16"/>
        <v>500</v>
      </c>
      <c r="O21" s="227">
        <f t="shared" si="17"/>
        <v>500</v>
      </c>
      <c r="P21" s="227">
        <f t="shared" si="18"/>
        <v>500</v>
      </c>
      <c r="Q21" s="227">
        <f t="shared" si="19"/>
        <v>500</v>
      </c>
      <c r="R21" s="227">
        <f t="shared" si="20"/>
        <v>500</v>
      </c>
      <c r="S21" s="227">
        <f t="shared" si="21"/>
        <v>500</v>
      </c>
      <c r="T21" s="227">
        <f t="shared" si="22"/>
        <v>500</v>
      </c>
      <c r="U21" s="228">
        <f t="shared" si="23"/>
        <v>500</v>
      </c>
      <c r="V21" s="172">
        <f t="shared" si="24"/>
        <v>4000</v>
      </c>
      <c r="W21" s="175"/>
    </row>
    <row r="22" spans="1:23" x14ac:dyDescent="0.2">
      <c r="A22" s="51"/>
      <c r="B22" s="71"/>
      <c r="C22" s="52"/>
      <c r="D22" s="52"/>
      <c r="E22" s="134"/>
      <c r="F22" s="52"/>
      <c r="G22" s="52"/>
      <c r="H22" s="52"/>
      <c r="I22" s="140"/>
      <c r="J22" s="104"/>
      <c r="K22" s="151"/>
      <c r="L22" s="30"/>
      <c r="M22" s="174"/>
      <c r="N22" s="176"/>
      <c r="O22" s="177"/>
      <c r="P22" s="177"/>
      <c r="Q22" s="178"/>
      <c r="R22" s="177"/>
      <c r="S22" s="177"/>
      <c r="T22" s="177"/>
      <c r="U22" s="179"/>
      <c r="V22" s="172"/>
      <c r="W22" s="175"/>
    </row>
    <row r="23" spans="1:23" ht="13.5" thickBot="1" x14ac:dyDescent="0.25">
      <c r="A23" s="53" t="s">
        <v>133</v>
      </c>
      <c r="B23" s="76">
        <f>SUM(B19:B21)</f>
        <v>8646</v>
      </c>
      <c r="C23" s="77">
        <f t="shared" ref="C23:H23" si="25">SUM(C19:C21)</f>
        <v>11211</v>
      </c>
      <c r="D23" s="77">
        <f t="shared" si="25"/>
        <v>10909</v>
      </c>
      <c r="E23" s="135">
        <f t="shared" si="25"/>
        <v>6080</v>
      </c>
      <c r="F23" s="77">
        <f t="shared" si="25"/>
        <v>13475</v>
      </c>
      <c r="G23" s="77">
        <f t="shared" si="25"/>
        <v>16342</v>
      </c>
      <c r="H23" s="77">
        <f t="shared" si="25"/>
        <v>16795</v>
      </c>
      <c r="I23" s="141">
        <f>SUM(I19:I21)</f>
        <v>17700</v>
      </c>
      <c r="J23" s="105">
        <f>SUM(J19:J21)</f>
        <v>101158</v>
      </c>
      <c r="K23" s="152">
        <f>J23/(J$108+J$110)</f>
        <v>2.9756394559708136E-2</v>
      </c>
      <c r="L23" s="103"/>
      <c r="M23" s="180" t="s">
        <v>133</v>
      </c>
      <c r="N23" s="181">
        <f>SUM(N19:N21)</f>
        <v>8646</v>
      </c>
      <c r="O23" s="182">
        <f t="shared" ref="O23:T23" si="26">SUM(O19:O21)</f>
        <v>11211</v>
      </c>
      <c r="P23" s="182">
        <f t="shared" si="26"/>
        <v>10909</v>
      </c>
      <c r="Q23" s="183">
        <f t="shared" si="26"/>
        <v>6080</v>
      </c>
      <c r="R23" s="182">
        <f t="shared" si="26"/>
        <v>13475</v>
      </c>
      <c r="S23" s="182">
        <f t="shared" si="26"/>
        <v>16342</v>
      </c>
      <c r="T23" s="182">
        <f t="shared" si="26"/>
        <v>16795</v>
      </c>
      <c r="U23" s="184">
        <f>SUM(U19:U21)</f>
        <v>17700</v>
      </c>
      <c r="V23" s="185">
        <f>SUM(V19:V21)</f>
        <v>101158</v>
      </c>
      <c r="W23" s="186">
        <f>V23/(V$108+V$110)</f>
        <v>2.9756394559708136E-2</v>
      </c>
    </row>
    <row r="24" spans="1:23" x14ac:dyDescent="0.2">
      <c r="A24" s="51"/>
      <c r="B24" s="71"/>
      <c r="C24" s="52"/>
      <c r="D24" s="52"/>
      <c r="E24" s="134"/>
      <c r="F24" s="52"/>
      <c r="G24" s="52"/>
      <c r="H24" s="52"/>
      <c r="I24" s="140"/>
      <c r="J24" s="104"/>
      <c r="K24" s="151"/>
      <c r="L24" s="30"/>
      <c r="M24" s="174"/>
      <c r="N24" s="176"/>
      <c r="O24" s="177"/>
      <c r="P24" s="177"/>
      <c r="Q24" s="178"/>
      <c r="R24" s="177"/>
      <c r="S24" s="177"/>
      <c r="T24" s="177"/>
      <c r="U24" s="179"/>
      <c r="V24" s="172"/>
      <c r="W24" s="175"/>
    </row>
    <row r="25" spans="1:23" x14ac:dyDescent="0.2">
      <c r="A25" s="53" t="s">
        <v>167</v>
      </c>
      <c r="B25" s="71"/>
      <c r="C25" s="52"/>
      <c r="D25" s="52"/>
      <c r="E25" s="134"/>
      <c r="F25" s="52"/>
      <c r="G25" s="52"/>
      <c r="H25" s="52"/>
      <c r="I25" s="140"/>
      <c r="J25" s="104"/>
      <c r="K25" s="151"/>
      <c r="L25" s="30"/>
      <c r="M25" s="180" t="s">
        <v>167</v>
      </c>
      <c r="N25" s="176"/>
      <c r="O25" s="177"/>
      <c r="P25" s="177"/>
      <c r="Q25" s="178"/>
      <c r="R25" s="177"/>
      <c r="S25" s="177"/>
      <c r="T25" s="177"/>
      <c r="U25" s="179"/>
      <c r="V25" s="172"/>
      <c r="W25" s="175"/>
    </row>
    <row r="26" spans="1:23" ht="15" x14ac:dyDescent="0.25">
      <c r="A26" s="51" t="s">
        <v>198</v>
      </c>
      <c r="B26" s="100">
        <f>B109*0.8</f>
        <v>22176</v>
      </c>
      <c r="C26" s="52">
        <f>C109*0.8</f>
        <v>14784</v>
      </c>
      <c r="D26" s="52">
        <f t="shared" ref="D26:H26" si="27">D109*0.8</f>
        <v>22176</v>
      </c>
      <c r="E26" s="52">
        <f t="shared" si="27"/>
        <v>12672</v>
      </c>
      <c r="F26" s="52">
        <f t="shared" si="27"/>
        <v>0</v>
      </c>
      <c r="G26" s="52">
        <f t="shared" si="27"/>
        <v>14784</v>
      </c>
      <c r="H26" s="52">
        <f t="shared" si="27"/>
        <v>22176</v>
      </c>
      <c r="I26" s="140">
        <f>I109*0.8</f>
        <v>12672</v>
      </c>
      <c r="J26" s="104">
        <f t="shared" ref="J26:J27" si="28">SUM(B26:I26)</f>
        <v>121440</v>
      </c>
      <c r="K26" s="151"/>
      <c r="L26" s="30"/>
      <c r="M26" s="174" t="s">
        <v>198</v>
      </c>
      <c r="N26" s="226">
        <f t="shared" ref="N26:N27" si="29">B26</f>
        <v>22176</v>
      </c>
      <c r="O26" s="227">
        <f t="shared" ref="O26:O27" si="30">C26</f>
        <v>14784</v>
      </c>
      <c r="P26" s="227">
        <f t="shared" ref="P26:P27" si="31">D26</f>
        <v>22176</v>
      </c>
      <c r="Q26" s="227">
        <f t="shared" ref="Q26:Q27" si="32">E26</f>
        <v>12672</v>
      </c>
      <c r="R26" s="227">
        <f t="shared" ref="R26:R27" si="33">F26</f>
        <v>0</v>
      </c>
      <c r="S26" s="227">
        <f t="shared" ref="S26:S27" si="34">G26</f>
        <v>14784</v>
      </c>
      <c r="T26" s="227">
        <f t="shared" ref="T26:T27" si="35">H26</f>
        <v>22176</v>
      </c>
      <c r="U26" s="228">
        <f t="shared" ref="U26:U27" si="36">I26</f>
        <v>12672</v>
      </c>
      <c r="V26" s="172">
        <f t="shared" ref="V26:V27" si="37">SUM(N26:U26)</f>
        <v>121440</v>
      </c>
      <c r="W26" s="175"/>
    </row>
    <row r="27" spans="1:23" ht="15" x14ac:dyDescent="0.25">
      <c r="A27" s="51" t="s">
        <v>199</v>
      </c>
      <c r="B27" s="100">
        <f>B109*0.2</f>
        <v>5544</v>
      </c>
      <c r="C27" s="52">
        <f>C109*0.2</f>
        <v>3696</v>
      </c>
      <c r="D27" s="52">
        <f t="shared" ref="D27:H27" si="38">D109*0.2</f>
        <v>5544</v>
      </c>
      <c r="E27" s="52">
        <f t="shared" si="38"/>
        <v>3168</v>
      </c>
      <c r="F27" s="52">
        <f t="shared" si="38"/>
        <v>0</v>
      </c>
      <c r="G27" s="52">
        <f t="shared" si="38"/>
        <v>3696</v>
      </c>
      <c r="H27" s="52">
        <f t="shared" si="38"/>
        <v>5544</v>
      </c>
      <c r="I27" s="140">
        <f>I109*0.2</f>
        <v>3168</v>
      </c>
      <c r="J27" s="104">
        <f t="shared" si="28"/>
        <v>30360</v>
      </c>
      <c r="K27" s="151"/>
      <c r="L27" s="30"/>
      <c r="M27" s="174" t="s">
        <v>199</v>
      </c>
      <c r="N27" s="226">
        <f t="shared" si="29"/>
        <v>5544</v>
      </c>
      <c r="O27" s="227">
        <f t="shared" si="30"/>
        <v>3696</v>
      </c>
      <c r="P27" s="227">
        <f t="shared" si="31"/>
        <v>5544</v>
      </c>
      <c r="Q27" s="227">
        <f t="shared" si="32"/>
        <v>3168</v>
      </c>
      <c r="R27" s="227">
        <f t="shared" si="33"/>
        <v>0</v>
      </c>
      <c r="S27" s="227">
        <f t="shared" si="34"/>
        <v>3696</v>
      </c>
      <c r="T27" s="227">
        <f t="shared" si="35"/>
        <v>5544</v>
      </c>
      <c r="U27" s="228">
        <f t="shared" si="36"/>
        <v>3168</v>
      </c>
      <c r="V27" s="172">
        <f t="shared" si="37"/>
        <v>30360</v>
      </c>
      <c r="W27" s="175"/>
    </row>
    <row r="28" spans="1:23" x14ac:dyDescent="0.2">
      <c r="A28" s="51"/>
      <c r="B28" s="71"/>
      <c r="C28" s="52"/>
      <c r="D28" s="52"/>
      <c r="E28" s="134"/>
      <c r="F28" s="52"/>
      <c r="G28" s="52"/>
      <c r="H28" s="52"/>
      <c r="I28" s="140"/>
      <c r="J28" s="104"/>
      <c r="K28" s="151"/>
      <c r="L28" s="30"/>
      <c r="M28" s="174"/>
      <c r="N28" s="176"/>
      <c r="O28" s="177"/>
      <c r="P28" s="177"/>
      <c r="Q28" s="178"/>
      <c r="R28" s="177"/>
      <c r="S28" s="177"/>
      <c r="T28" s="177"/>
      <c r="U28" s="179"/>
      <c r="V28" s="172"/>
      <c r="W28" s="175"/>
    </row>
    <row r="29" spans="1:23" x14ac:dyDescent="0.2">
      <c r="A29" s="53" t="s">
        <v>158</v>
      </c>
      <c r="B29" s="76">
        <f>SUM(B26:B27)</f>
        <v>27720</v>
      </c>
      <c r="C29" s="77">
        <f t="shared" ref="C29:H29" si="39">SUM(C26:C27)</f>
        <v>18480</v>
      </c>
      <c r="D29" s="77">
        <f t="shared" si="39"/>
        <v>27720</v>
      </c>
      <c r="E29" s="135">
        <f t="shared" si="39"/>
        <v>15840</v>
      </c>
      <c r="F29" s="77">
        <f t="shared" si="39"/>
        <v>0</v>
      </c>
      <c r="G29" s="77">
        <f t="shared" si="39"/>
        <v>18480</v>
      </c>
      <c r="H29" s="77">
        <f t="shared" si="39"/>
        <v>27720</v>
      </c>
      <c r="I29" s="141">
        <f>SUM(I26:I27)</f>
        <v>15840</v>
      </c>
      <c r="J29" s="105">
        <f>SUM(J26:J27)</f>
        <v>151800</v>
      </c>
      <c r="K29" s="153"/>
      <c r="L29" s="30"/>
      <c r="M29" s="180" t="s">
        <v>158</v>
      </c>
      <c r="N29" s="181">
        <f>SUM(N26:N27)</f>
        <v>27720</v>
      </c>
      <c r="O29" s="182">
        <f t="shared" ref="O29:T29" si="40">SUM(O26:O27)</f>
        <v>18480</v>
      </c>
      <c r="P29" s="182">
        <f t="shared" si="40"/>
        <v>27720</v>
      </c>
      <c r="Q29" s="183">
        <f t="shared" si="40"/>
        <v>15840</v>
      </c>
      <c r="R29" s="182">
        <f t="shared" si="40"/>
        <v>0</v>
      </c>
      <c r="S29" s="182">
        <f t="shared" si="40"/>
        <v>18480</v>
      </c>
      <c r="T29" s="182">
        <f t="shared" si="40"/>
        <v>27720</v>
      </c>
      <c r="U29" s="184">
        <f>SUM(U26:U27)</f>
        <v>15840</v>
      </c>
      <c r="V29" s="185">
        <f>SUM(V26:V27)</f>
        <v>151800</v>
      </c>
      <c r="W29" s="187"/>
    </row>
    <row r="30" spans="1:23" x14ac:dyDescent="0.2">
      <c r="A30" s="51"/>
      <c r="B30" s="71"/>
      <c r="C30" s="52"/>
      <c r="D30" s="52"/>
      <c r="E30" s="134"/>
      <c r="F30" s="52"/>
      <c r="G30" s="52"/>
      <c r="H30" s="52"/>
      <c r="I30" s="140"/>
      <c r="J30" s="104"/>
      <c r="K30" s="151"/>
      <c r="L30" s="30"/>
      <c r="M30" s="174"/>
      <c r="N30" s="176"/>
      <c r="O30" s="177"/>
      <c r="P30" s="177"/>
      <c r="Q30" s="178"/>
      <c r="R30" s="177"/>
      <c r="S30" s="177"/>
      <c r="T30" s="177"/>
      <c r="U30" s="179"/>
      <c r="V30" s="172"/>
      <c r="W30" s="175"/>
    </row>
    <row r="31" spans="1:23" x14ac:dyDescent="0.2">
      <c r="A31" s="53" t="s">
        <v>99</v>
      </c>
      <c r="B31" s="71"/>
      <c r="C31" s="52"/>
      <c r="D31" s="52"/>
      <c r="E31" s="134"/>
      <c r="F31" s="52"/>
      <c r="G31" s="52"/>
      <c r="H31" s="52"/>
      <c r="I31" s="140"/>
      <c r="J31" s="104"/>
      <c r="K31" s="151"/>
      <c r="L31" s="30"/>
      <c r="M31" s="180" t="s">
        <v>99</v>
      </c>
      <c r="N31" s="176"/>
      <c r="O31" s="177"/>
      <c r="P31" s="177"/>
      <c r="Q31" s="178"/>
      <c r="R31" s="177"/>
      <c r="S31" s="177"/>
      <c r="T31" s="177"/>
      <c r="U31" s="179"/>
      <c r="V31" s="172"/>
      <c r="W31" s="175"/>
    </row>
    <row r="32" spans="1:23" ht="15" x14ac:dyDescent="0.25">
      <c r="A32" s="51" t="s">
        <v>134</v>
      </c>
      <c r="B32" s="71">
        <f>IF('1. Schools Data Sheet'!C7&gt;0,ROUND(('2. Projected Funding'!C9/25+1)*'Expenditure Base Data'!$K$22,0),0)</f>
        <v>2533</v>
      </c>
      <c r="C32" s="52">
        <f>IF('1. Schools Data Sheet'!D7&gt;0,ROUND(('2. Projected Funding'!D9/25+1)*'Expenditure Base Data'!$K$22,0),0)</f>
        <v>3107</v>
      </c>
      <c r="D32" s="52">
        <f>IF('1. Schools Data Sheet'!E7&gt;0,ROUND(('2. Projected Funding'!E9/25+1)*'Expenditure Base Data'!$K$22,0),0)</f>
        <v>3039</v>
      </c>
      <c r="E32" s="134">
        <f>IF('1. Schools Data Sheet'!F7&gt;0,ROUND(('2. Projected Funding'!F9/25+1)*'Expenditure Base Data'!$K$22,0),0)</f>
        <v>1959</v>
      </c>
      <c r="F32" s="52">
        <f>IF('1. Schools Data Sheet'!G7&gt;0,ROUND(('2. Projected Funding'!G9/25+1)*'Expenditure Base Data'!$K$22,0),0)</f>
        <v>3613</v>
      </c>
      <c r="G32" s="52">
        <f>IF('1. Schools Data Sheet'!H7&gt;0,ROUND(('2. Projected Funding'!H9/25+1)*'Expenditure Base Data'!$K$22,0),0)</f>
        <v>4255</v>
      </c>
      <c r="H32" s="52">
        <f>IF('1. Schools Data Sheet'!I7&gt;0,ROUND(('2. Projected Funding'!I9/25+1)*'Expenditure Base Data'!$K$22,0),0)</f>
        <v>4356</v>
      </c>
      <c r="I32" s="140">
        <f>IF('1. Schools Data Sheet'!J7&gt;0,ROUND(('2. Projected Funding'!J9/25+1)*'Expenditure Base Data'!$K$22,0),0)</f>
        <v>4559</v>
      </c>
      <c r="J32" s="104">
        <f t="shared" ref="J32:J33" si="41">SUM(B32:I32)</f>
        <v>27421</v>
      </c>
      <c r="K32" s="151"/>
      <c r="L32" s="30"/>
      <c r="M32" s="174" t="s">
        <v>134</v>
      </c>
      <c r="N32" s="226">
        <f t="shared" ref="N32:N33" si="42">B32</f>
        <v>2533</v>
      </c>
      <c r="O32" s="227">
        <f t="shared" ref="O32:O33" si="43">C32</f>
        <v>3107</v>
      </c>
      <c r="P32" s="227">
        <f t="shared" ref="P32:P33" si="44">D32</f>
        <v>3039</v>
      </c>
      <c r="Q32" s="227">
        <f t="shared" ref="Q32:Q33" si="45">E32</f>
        <v>1959</v>
      </c>
      <c r="R32" s="227">
        <f t="shared" ref="R32:R33" si="46">F32</f>
        <v>3613</v>
      </c>
      <c r="S32" s="227">
        <f t="shared" ref="S32:S33" si="47">G32</f>
        <v>4255</v>
      </c>
      <c r="T32" s="227">
        <f t="shared" ref="T32:T33" si="48">H32</f>
        <v>4356</v>
      </c>
      <c r="U32" s="228">
        <f t="shared" ref="U32:U33" si="49">I32</f>
        <v>4559</v>
      </c>
      <c r="V32" s="172">
        <f t="shared" ref="V32:V33" si="50">SUM(N32:U32)</f>
        <v>27421</v>
      </c>
      <c r="W32" s="175"/>
    </row>
    <row r="33" spans="1:23" ht="15" x14ac:dyDescent="0.25">
      <c r="A33" s="51" t="s">
        <v>135</v>
      </c>
      <c r="B33" s="71">
        <f>IF('1. Schools Data Sheet'!C7&gt;0,ROUND(('2. Projected Funding'!C9/25+1)*'Expenditure Base Data'!$K$23,0),0)</f>
        <v>1256</v>
      </c>
      <c r="C33" s="52">
        <f>IF('1. Schools Data Sheet'!D7&gt;0,ROUND(('2. Projected Funding'!D9/25+1)*'Expenditure Base Data'!$K$23,0),0)</f>
        <v>1541</v>
      </c>
      <c r="D33" s="52">
        <f>IF('1. Schools Data Sheet'!E7&gt;0,ROUND(('2. Projected Funding'!E9/25+1)*'Expenditure Base Data'!$K$23,0),0)</f>
        <v>1508</v>
      </c>
      <c r="E33" s="134">
        <f>IF('1. Schools Data Sheet'!F7&gt;0,ROUND(('2. Projected Funding'!F9/25+1)*'Expenditure Base Data'!$K$23,0),0)</f>
        <v>972</v>
      </c>
      <c r="F33" s="52">
        <f>IF('1. Schools Data Sheet'!G7&gt;0,ROUND(('2. Projected Funding'!G9/25+1)*'Expenditure Base Data'!$K$23,0),0)</f>
        <v>1792</v>
      </c>
      <c r="G33" s="52">
        <f>IF('1. Schools Data Sheet'!H7&gt;0,ROUND(('2. Projected Funding'!H9/25+1)*'Expenditure Base Data'!$K$23,0),0)</f>
        <v>2111</v>
      </c>
      <c r="H33" s="52">
        <f>IF('1. Schools Data Sheet'!I7&gt;0,ROUND(('2. Projected Funding'!I9/25+1)*'Expenditure Base Data'!$K$23,0),0)</f>
        <v>2161</v>
      </c>
      <c r="I33" s="140">
        <f>IF('1. Schools Data Sheet'!J7&gt;0,ROUND(('2. Projected Funding'!J9/25+1)*'Expenditure Base Data'!$K$23,0),0)</f>
        <v>2261</v>
      </c>
      <c r="J33" s="104">
        <f t="shared" si="41"/>
        <v>13602</v>
      </c>
      <c r="K33" s="151"/>
      <c r="L33" s="30"/>
      <c r="M33" s="174" t="s">
        <v>135</v>
      </c>
      <c r="N33" s="226">
        <f t="shared" si="42"/>
        <v>1256</v>
      </c>
      <c r="O33" s="227">
        <f t="shared" si="43"/>
        <v>1541</v>
      </c>
      <c r="P33" s="227">
        <f t="shared" si="44"/>
        <v>1508</v>
      </c>
      <c r="Q33" s="227">
        <f t="shared" si="45"/>
        <v>972</v>
      </c>
      <c r="R33" s="227">
        <f t="shared" si="46"/>
        <v>1792</v>
      </c>
      <c r="S33" s="227">
        <f t="shared" si="47"/>
        <v>2111</v>
      </c>
      <c r="T33" s="227">
        <f t="shared" si="48"/>
        <v>2161</v>
      </c>
      <c r="U33" s="228">
        <f t="shared" si="49"/>
        <v>2261</v>
      </c>
      <c r="V33" s="172">
        <f t="shared" si="50"/>
        <v>13602</v>
      </c>
      <c r="W33" s="175"/>
    </row>
    <row r="34" spans="1:23" x14ac:dyDescent="0.2">
      <c r="A34" s="51"/>
      <c r="B34" s="71"/>
      <c r="C34" s="52"/>
      <c r="D34" s="139"/>
      <c r="E34" s="134"/>
      <c r="F34" s="52"/>
      <c r="G34" s="52"/>
      <c r="H34" s="52"/>
      <c r="I34" s="140"/>
      <c r="J34" s="104"/>
      <c r="K34" s="151"/>
      <c r="L34" s="30"/>
      <c r="M34" s="174"/>
      <c r="N34" s="176"/>
      <c r="O34" s="177"/>
      <c r="P34" s="188"/>
      <c r="Q34" s="178"/>
      <c r="R34" s="177"/>
      <c r="S34" s="177"/>
      <c r="T34" s="177"/>
      <c r="U34" s="179"/>
      <c r="V34" s="172"/>
      <c r="W34" s="175"/>
    </row>
    <row r="35" spans="1:23" s="28" customFormat="1" ht="13.5" thickBot="1" x14ac:dyDescent="0.25">
      <c r="A35" s="53" t="s">
        <v>141</v>
      </c>
      <c r="B35" s="76">
        <f>SUM(B32:B33)</f>
        <v>3789</v>
      </c>
      <c r="C35" s="77">
        <f t="shared" ref="C35:H35" si="51">SUM(C32:C33)</f>
        <v>4648</v>
      </c>
      <c r="D35" s="135">
        <f t="shared" si="51"/>
        <v>4547</v>
      </c>
      <c r="E35" s="77">
        <f t="shared" si="51"/>
        <v>2931</v>
      </c>
      <c r="F35" s="77">
        <f t="shared" si="51"/>
        <v>5405</v>
      </c>
      <c r="G35" s="77">
        <f t="shared" si="51"/>
        <v>6366</v>
      </c>
      <c r="H35" s="77">
        <f t="shared" si="51"/>
        <v>6517</v>
      </c>
      <c r="I35" s="141">
        <f>SUM(I32:I33)</f>
        <v>6820</v>
      </c>
      <c r="J35" s="105">
        <f>SUM(J32:J33)</f>
        <v>41023</v>
      </c>
      <c r="K35" s="152">
        <f>J35/(J$108+J$110)</f>
        <v>1.2067227248689248E-2</v>
      </c>
      <c r="L35" s="31"/>
      <c r="M35" s="180" t="s">
        <v>141</v>
      </c>
      <c r="N35" s="181">
        <f>SUM(N32:N33)</f>
        <v>3789</v>
      </c>
      <c r="O35" s="182">
        <f t="shared" ref="O35:T35" si="52">SUM(O32:O33)</f>
        <v>4648</v>
      </c>
      <c r="P35" s="183">
        <f t="shared" si="52"/>
        <v>4547</v>
      </c>
      <c r="Q35" s="182">
        <f t="shared" si="52"/>
        <v>2931</v>
      </c>
      <c r="R35" s="182">
        <f t="shared" si="52"/>
        <v>5405</v>
      </c>
      <c r="S35" s="182">
        <f t="shared" si="52"/>
        <v>6366</v>
      </c>
      <c r="T35" s="182">
        <f t="shared" si="52"/>
        <v>6517</v>
      </c>
      <c r="U35" s="184">
        <f>SUM(U32:U33)</f>
        <v>6820</v>
      </c>
      <c r="V35" s="185">
        <f>SUM(V32:V33)</f>
        <v>41023</v>
      </c>
      <c r="W35" s="186">
        <f>V35/(V$108+V$110)</f>
        <v>1.2067227248689248E-2</v>
      </c>
    </row>
    <row r="36" spans="1:23" x14ac:dyDescent="0.2">
      <c r="A36" s="51"/>
      <c r="B36" s="71"/>
      <c r="C36" s="52"/>
      <c r="D36" s="134"/>
      <c r="E36" s="52"/>
      <c r="F36" s="52"/>
      <c r="G36" s="52"/>
      <c r="H36" s="134"/>
      <c r="I36" s="72"/>
      <c r="J36" s="104"/>
      <c r="K36" s="151"/>
      <c r="L36" s="30"/>
      <c r="M36" s="174"/>
      <c r="N36" s="176"/>
      <c r="O36" s="177"/>
      <c r="P36" s="178"/>
      <c r="Q36" s="177"/>
      <c r="R36" s="177"/>
      <c r="S36" s="177"/>
      <c r="T36" s="178"/>
      <c r="U36" s="189"/>
      <c r="V36" s="172"/>
      <c r="W36" s="175"/>
    </row>
    <row r="37" spans="1:23" x14ac:dyDescent="0.2">
      <c r="A37" s="53" t="s">
        <v>100</v>
      </c>
      <c r="B37" s="71"/>
      <c r="C37" s="52"/>
      <c r="D37" s="134"/>
      <c r="E37" s="52"/>
      <c r="F37" s="52"/>
      <c r="G37" s="134"/>
      <c r="H37" s="52"/>
      <c r="I37" s="72"/>
      <c r="J37" s="104"/>
      <c r="K37" s="151"/>
      <c r="L37" s="30"/>
      <c r="M37" s="180" t="s">
        <v>100</v>
      </c>
      <c r="N37" s="176"/>
      <c r="O37" s="177"/>
      <c r="P37" s="178"/>
      <c r="Q37" s="177"/>
      <c r="R37" s="177"/>
      <c r="S37" s="178"/>
      <c r="T37" s="177"/>
      <c r="U37" s="189"/>
      <c r="V37" s="172"/>
      <c r="W37" s="175"/>
    </row>
    <row r="38" spans="1:23" ht="15" x14ac:dyDescent="0.25">
      <c r="A38" s="51" t="s">
        <v>136</v>
      </c>
      <c r="B38" s="100">
        <f>ROUND('2. Projected Funding'!C9*'Expenditure Base Data'!$K$28,0)+(B110*0.1)</f>
        <v>17348.28</v>
      </c>
      <c r="C38" s="52">
        <f>ROUND('2. Projected Funding'!D9*'Expenditure Base Data'!$K$28,0)+(C110*0.1)</f>
        <v>15105.14</v>
      </c>
      <c r="D38" s="52">
        <f>ROUND('2. Projected Funding'!E9*'Expenditure Base Data'!$K$28,0)+(D110*0.1)</f>
        <v>9953</v>
      </c>
      <c r="E38" s="52">
        <f>ROUND('2. Projected Funding'!F9*'Expenditure Base Data'!$K$28,0)+(E110*0.1)</f>
        <v>5053</v>
      </c>
      <c r="F38" s="52">
        <f>ROUND('2. Projected Funding'!G9*'Expenditure Base Data'!$K$28,0)+(F110*0.1)</f>
        <v>12556</v>
      </c>
      <c r="G38" s="52">
        <f>ROUND('2. Projected Funding'!H9*'Expenditure Base Data'!$K$28,0)+(G110*0.1)</f>
        <v>30003.420000000002</v>
      </c>
      <c r="H38" s="52">
        <f>ROUND('2. Projected Funding'!I9*'Expenditure Base Data'!$K$28,0)+(H110*0.1)</f>
        <v>25617.279999999999</v>
      </c>
      <c r="I38" s="134">
        <f>ROUND('2. Projected Funding'!J9*'Expenditure Base Data'!$K$28,0)+(I110*0.1)</f>
        <v>16843</v>
      </c>
      <c r="J38" s="104">
        <f t="shared" ref="J38:J39" si="53">SUM(B38:I38)</f>
        <v>132479.12</v>
      </c>
      <c r="K38" s="151"/>
      <c r="L38" s="30"/>
      <c r="M38" s="174" t="s">
        <v>136</v>
      </c>
      <c r="N38" s="226">
        <f t="shared" ref="N38:N39" si="54">B38</f>
        <v>17348.28</v>
      </c>
      <c r="O38" s="227">
        <f t="shared" ref="O38:O39" si="55">C38</f>
        <v>15105.14</v>
      </c>
      <c r="P38" s="227">
        <f t="shared" ref="P38:P39" si="56">D38</f>
        <v>9953</v>
      </c>
      <c r="Q38" s="227">
        <f t="shared" ref="Q38:Q39" si="57">E38</f>
        <v>5053</v>
      </c>
      <c r="R38" s="227">
        <f t="shared" ref="R38:R39" si="58">F38</f>
        <v>12556</v>
      </c>
      <c r="S38" s="227">
        <f t="shared" ref="S38:S39" si="59">G38</f>
        <v>30003.420000000002</v>
      </c>
      <c r="T38" s="227">
        <f t="shared" ref="T38:T39" si="60">H38</f>
        <v>25617.279999999999</v>
      </c>
      <c r="U38" s="228">
        <f t="shared" ref="U38:U39" si="61">I38</f>
        <v>16843</v>
      </c>
      <c r="V38" s="172">
        <f t="shared" ref="V38:V39" si="62">SUM(N38:U38)</f>
        <v>132479.12</v>
      </c>
      <c r="W38" s="175"/>
    </row>
    <row r="39" spans="1:23" ht="15" x14ac:dyDescent="0.25">
      <c r="A39" s="51" t="s">
        <v>137</v>
      </c>
      <c r="B39" s="100">
        <f>ROUND('2. Projected Funding'!C9*'Expenditure Base Data'!$K$29,0)</f>
        <v>2120</v>
      </c>
      <c r="C39" s="52">
        <f>ROUND('2. Projected Funding'!D9*'Expenditure Base Data'!$K$29,0)</f>
        <v>2841</v>
      </c>
      <c r="D39" s="52">
        <f>ROUND('2. Projected Funding'!E9*'Expenditure Base Data'!$K$29,0)</f>
        <v>2756</v>
      </c>
      <c r="E39" s="52">
        <f>ROUND('2. Projected Funding'!F9*'Expenditure Base Data'!$K$29,0)</f>
        <v>1399</v>
      </c>
      <c r="F39" s="52">
        <f>ROUND('2. Projected Funding'!G9*'Expenditure Base Data'!$K$29,0)</f>
        <v>3476</v>
      </c>
      <c r="G39" s="52">
        <f>ROUND('2. Projected Funding'!H9*'Expenditure Base Data'!$K$29,0)</f>
        <v>4282</v>
      </c>
      <c r="H39" s="52">
        <f>ROUND('2. Projected Funding'!I9*'Expenditure Base Data'!$K$29,0)</f>
        <v>4409</v>
      </c>
      <c r="I39" s="134">
        <f>ROUND('2. Projected Funding'!J9*'Expenditure Base Data'!$K$29,0)</f>
        <v>4664</v>
      </c>
      <c r="J39" s="104">
        <f t="shared" si="53"/>
        <v>25947</v>
      </c>
      <c r="K39" s="151"/>
      <c r="L39" s="30"/>
      <c r="M39" s="174" t="s">
        <v>137</v>
      </c>
      <c r="N39" s="226">
        <f t="shared" si="54"/>
        <v>2120</v>
      </c>
      <c r="O39" s="227">
        <f t="shared" si="55"/>
        <v>2841</v>
      </c>
      <c r="P39" s="227">
        <f t="shared" si="56"/>
        <v>2756</v>
      </c>
      <c r="Q39" s="227">
        <f t="shared" si="57"/>
        <v>1399</v>
      </c>
      <c r="R39" s="227">
        <f t="shared" si="58"/>
        <v>3476</v>
      </c>
      <c r="S39" s="227">
        <f t="shared" si="59"/>
        <v>4282</v>
      </c>
      <c r="T39" s="227">
        <f t="shared" si="60"/>
        <v>4409</v>
      </c>
      <c r="U39" s="228">
        <f t="shared" si="61"/>
        <v>4664</v>
      </c>
      <c r="V39" s="172">
        <f t="shared" si="62"/>
        <v>25947</v>
      </c>
      <c r="W39" s="175"/>
    </row>
    <row r="40" spans="1:23" x14ac:dyDescent="0.2">
      <c r="A40" s="51"/>
      <c r="B40" s="71"/>
      <c r="C40" s="52"/>
      <c r="D40" s="134"/>
      <c r="E40" s="52"/>
      <c r="F40" s="52"/>
      <c r="G40" s="52"/>
      <c r="H40" s="52"/>
      <c r="I40" s="72"/>
      <c r="J40" s="104"/>
      <c r="K40" s="151"/>
      <c r="L40" s="30"/>
      <c r="M40" s="174"/>
      <c r="N40" s="176"/>
      <c r="O40" s="177"/>
      <c r="P40" s="178"/>
      <c r="Q40" s="177"/>
      <c r="R40" s="177"/>
      <c r="S40" s="177"/>
      <c r="T40" s="177"/>
      <c r="U40" s="189"/>
      <c r="V40" s="172"/>
      <c r="W40" s="175"/>
    </row>
    <row r="41" spans="1:23" s="28" customFormat="1" ht="13.5" thickBot="1" x14ac:dyDescent="0.25">
      <c r="A41" s="53" t="s">
        <v>142</v>
      </c>
      <c r="B41" s="76">
        <f>SUM(B38:B39)</f>
        <v>19468.28</v>
      </c>
      <c r="C41" s="77">
        <f t="shared" ref="C41:H41" si="63">SUM(C38:C39)</f>
        <v>17946.14</v>
      </c>
      <c r="D41" s="135">
        <f t="shared" si="63"/>
        <v>12709</v>
      </c>
      <c r="E41" s="77">
        <f t="shared" si="63"/>
        <v>6452</v>
      </c>
      <c r="F41" s="77">
        <f t="shared" si="63"/>
        <v>16032</v>
      </c>
      <c r="G41" s="77">
        <f t="shared" si="63"/>
        <v>34285.42</v>
      </c>
      <c r="H41" s="77">
        <f t="shared" si="63"/>
        <v>30026.28</v>
      </c>
      <c r="I41" s="78">
        <f>SUM(I38:I39)</f>
        <v>21507</v>
      </c>
      <c r="J41" s="105">
        <f>SUM(J38:J39)</f>
        <v>158426.12</v>
      </c>
      <c r="K41" s="152">
        <f>J41/(J$108+(J$110))</f>
        <v>4.6602247328769532E-2</v>
      </c>
      <c r="L41" s="31"/>
      <c r="M41" s="180" t="s">
        <v>142</v>
      </c>
      <c r="N41" s="181">
        <f>SUM(N38:N39)</f>
        <v>19468.28</v>
      </c>
      <c r="O41" s="182">
        <f t="shared" ref="O41:T41" si="64">SUM(O38:O39)</f>
        <v>17946.14</v>
      </c>
      <c r="P41" s="183">
        <f t="shared" si="64"/>
        <v>12709</v>
      </c>
      <c r="Q41" s="182">
        <f t="shared" si="64"/>
        <v>6452</v>
      </c>
      <c r="R41" s="182">
        <f t="shared" si="64"/>
        <v>16032</v>
      </c>
      <c r="S41" s="182">
        <f t="shared" si="64"/>
        <v>34285.42</v>
      </c>
      <c r="T41" s="182">
        <f t="shared" si="64"/>
        <v>30026.28</v>
      </c>
      <c r="U41" s="190">
        <f>SUM(U38:U39)</f>
        <v>21507</v>
      </c>
      <c r="V41" s="185">
        <f>SUM(V38:V39)</f>
        <v>158426.12</v>
      </c>
      <c r="W41" s="186">
        <f>V41/(V$108+(V$110))</f>
        <v>4.6602247328769532E-2</v>
      </c>
    </row>
    <row r="42" spans="1:23" x14ac:dyDescent="0.2">
      <c r="A42" s="51"/>
      <c r="B42" s="71"/>
      <c r="C42" s="52"/>
      <c r="D42" s="134"/>
      <c r="E42" s="52"/>
      <c r="F42" s="52"/>
      <c r="G42" s="52"/>
      <c r="H42" s="52"/>
      <c r="I42" s="72"/>
      <c r="J42" s="104"/>
      <c r="K42" s="151"/>
      <c r="L42" s="30"/>
      <c r="M42" s="174"/>
      <c r="N42" s="176"/>
      <c r="O42" s="177"/>
      <c r="P42" s="178"/>
      <c r="Q42" s="177"/>
      <c r="R42" s="177"/>
      <c r="S42" s="177"/>
      <c r="T42" s="177"/>
      <c r="U42" s="189"/>
      <c r="V42" s="172"/>
      <c r="W42" s="175"/>
    </row>
    <row r="43" spans="1:23" x14ac:dyDescent="0.2">
      <c r="A43" s="53" t="s">
        <v>101</v>
      </c>
      <c r="B43" s="71"/>
      <c r="C43" s="52"/>
      <c r="D43" s="134"/>
      <c r="E43" s="52"/>
      <c r="F43" s="52"/>
      <c r="G43" s="52"/>
      <c r="H43" s="52"/>
      <c r="I43" s="72"/>
      <c r="J43" s="104"/>
      <c r="K43" s="151"/>
      <c r="L43" s="30"/>
      <c r="M43" s="180" t="s">
        <v>101</v>
      </c>
      <c r="N43" s="176"/>
      <c r="O43" s="177"/>
      <c r="P43" s="178"/>
      <c r="Q43" s="177"/>
      <c r="R43" s="177"/>
      <c r="S43" s="177"/>
      <c r="T43" s="177"/>
      <c r="U43" s="189"/>
      <c r="V43" s="172"/>
      <c r="W43" s="175"/>
    </row>
    <row r="44" spans="1:23" ht="15" x14ac:dyDescent="0.25">
      <c r="A44" s="51" t="s">
        <v>138</v>
      </c>
      <c r="B44" s="71">
        <f>ROUND('2. Projected Funding'!C9*'Expenditure Base Data'!K34,0)</f>
        <v>426</v>
      </c>
      <c r="C44" s="52">
        <f>ROUND('2. Projected Funding'!D9*'Expenditure Base Data'!$K$34,0)</f>
        <v>571</v>
      </c>
      <c r="D44" s="134">
        <f>ROUND('2. Projected Funding'!E9*'Expenditure Base Data'!$K$34,0)</f>
        <v>554</v>
      </c>
      <c r="E44" s="52">
        <f>ROUND('2. Projected Funding'!F9*'Expenditure Base Data'!$K$34,0)</f>
        <v>281</v>
      </c>
      <c r="F44" s="52">
        <f>ROUND('2. Projected Funding'!G9*'Expenditure Base Data'!$K$34,0)</f>
        <v>699</v>
      </c>
      <c r="G44" s="52">
        <f>ROUND('2. Projected Funding'!H9*'Expenditure Base Data'!$K$34,0)</f>
        <v>860</v>
      </c>
      <c r="H44" s="52">
        <f>ROUND('2. Projected Funding'!I9*'Expenditure Base Data'!$K$34,0)</f>
        <v>886</v>
      </c>
      <c r="I44" s="72">
        <f>ROUND('2. Projected Funding'!J9*'Expenditure Base Data'!$K$34,0)</f>
        <v>937</v>
      </c>
      <c r="J44" s="104">
        <f t="shared" ref="J44:J48" si="65">SUM(B44:I44)</f>
        <v>5214</v>
      </c>
      <c r="K44" s="151"/>
      <c r="L44" s="30"/>
      <c r="M44" s="174" t="s">
        <v>138</v>
      </c>
      <c r="N44" s="226">
        <f t="shared" ref="N44:N48" si="66">B44</f>
        <v>426</v>
      </c>
      <c r="O44" s="227">
        <f t="shared" ref="O44:O48" si="67">C44</f>
        <v>571</v>
      </c>
      <c r="P44" s="227">
        <f t="shared" ref="P44:P48" si="68">D44</f>
        <v>554</v>
      </c>
      <c r="Q44" s="227">
        <f t="shared" ref="Q44:Q48" si="69">E44</f>
        <v>281</v>
      </c>
      <c r="R44" s="227">
        <f t="shared" ref="R44:R48" si="70">F44</f>
        <v>699</v>
      </c>
      <c r="S44" s="227">
        <f t="shared" ref="S44:S48" si="71">G44</f>
        <v>860</v>
      </c>
      <c r="T44" s="227">
        <f t="shared" ref="T44:T48" si="72">H44</f>
        <v>886</v>
      </c>
      <c r="U44" s="228">
        <f t="shared" ref="U44:U48" si="73">I44</f>
        <v>937</v>
      </c>
      <c r="V44" s="172">
        <f t="shared" ref="V44:V46" si="74">SUM(N44:U44)</f>
        <v>5214</v>
      </c>
      <c r="W44" s="175"/>
    </row>
    <row r="45" spans="1:23" ht="15" x14ac:dyDescent="0.25">
      <c r="A45" s="51" t="s">
        <v>119</v>
      </c>
      <c r="B45" s="71">
        <f>'2. Projected Funding'!$C$23</f>
        <v>5880</v>
      </c>
      <c r="C45" s="52">
        <f>'2. Projected Funding'!D$23</f>
        <v>4965</v>
      </c>
      <c r="D45" s="134">
        <f>'2. Projected Funding'!E$23</f>
        <v>9243.75</v>
      </c>
      <c r="E45" s="52">
        <f>'2. Projected Funding'!F$23</f>
        <v>10722.75</v>
      </c>
      <c r="F45" s="52">
        <f>'2. Projected Funding'!G$23</f>
        <v>9100</v>
      </c>
      <c r="G45" s="52">
        <f>'2. Projected Funding'!H$23</f>
        <v>4965</v>
      </c>
      <c r="H45" s="52">
        <f>'2. Projected Funding'!I$23</f>
        <v>9243.75</v>
      </c>
      <c r="I45" s="72">
        <f>'2. Projected Funding'!$J$23</f>
        <v>10722.75</v>
      </c>
      <c r="J45" s="104">
        <f t="shared" si="65"/>
        <v>64843</v>
      </c>
      <c r="K45" s="151"/>
      <c r="L45" s="30"/>
      <c r="M45" s="174" t="s">
        <v>119</v>
      </c>
      <c r="N45" s="226">
        <f t="shared" si="66"/>
        <v>5880</v>
      </c>
      <c r="O45" s="227">
        <f t="shared" si="67"/>
        <v>4965</v>
      </c>
      <c r="P45" s="227">
        <f t="shared" si="68"/>
        <v>9243.75</v>
      </c>
      <c r="Q45" s="227">
        <f t="shared" si="69"/>
        <v>10722.75</v>
      </c>
      <c r="R45" s="227">
        <f t="shared" si="70"/>
        <v>9100</v>
      </c>
      <c r="S45" s="227">
        <f t="shared" si="71"/>
        <v>4965</v>
      </c>
      <c r="T45" s="227">
        <f t="shared" si="72"/>
        <v>9243.75</v>
      </c>
      <c r="U45" s="228">
        <f t="shared" si="73"/>
        <v>10722.75</v>
      </c>
      <c r="V45" s="172">
        <f t="shared" si="74"/>
        <v>64843</v>
      </c>
      <c r="W45" s="175"/>
    </row>
    <row r="46" spans="1:23" ht="15" x14ac:dyDescent="0.25">
      <c r="A46" s="51" t="s">
        <v>156</v>
      </c>
      <c r="B46" s="71">
        <f>B111</f>
        <v>4563</v>
      </c>
      <c r="C46" s="52">
        <f>C111</f>
        <v>4754</v>
      </c>
      <c r="D46" s="134">
        <f t="shared" ref="D46:H46" si="75">D111</f>
        <v>4731</v>
      </c>
      <c r="E46" s="52">
        <f t="shared" si="75"/>
        <v>4371</v>
      </c>
      <c r="F46" s="52">
        <f t="shared" si="75"/>
        <v>4923</v>
      </c>
      <c r="G46" s="52">
        <f t="shared" si="75"/>
        <v>5136</v>
      </c>
      <c r="H46" s="52">
        <f t="shared" si="75"/>
        <v>5170</v>
      </c>
      <c r="I46" s="72">
        <f>I111</f>
        <v>5238</v>
      </c>
      <c r="J46" s="104">
        <f t="shared" si="65"/>
        <v>38886</v>
      </c>
      <c r="K46" s="151"/>
      <c r="L46" s="30"/>
      <c r="M46" s="174" t="s">
        <v>156</v>
      </c>
      <c r="N46" s="226">
        <f t="shared" si="66"/>
        <v>4563</v>
      </c>
      <c r="O46" s="227">
        <f t="shared" si="67"/>
        <v>4754</v>
      </c>
      <c r="P46" s="227">
        <f t="shared" si="68"/>
        <v>4731</v>
      </c>
      <c r="Q46" s="227">
        <f t="shared" si="69"/>
        <v>4371</v>
      </c>
      <c r="R46" s="227">
        <f t="shared" si="70"/>
        <v>4923</v>
      </c>
      <c r="S46" s="227">
        <f t="shared" si="71"/>
        <v>5136</v>
      </c>
      <c r="T46" s="227">
        <f t="shared" si="72"/>
        <v>5170</v>
      </c>
      <c r="U46" s="228">
        <f t="shared" si="73"/>
        <v>5238</v>
      </c>
      <c r="V46" s="172">
        <f t="shared" si="74"/>
        <v>38886</v>
      </c>
      <c r="W46" s="175"/>
    </row>
    <row r="47" spans="1:23" ht="15" x14ac:dyDescent="0.25">
      <c r="A47" s="51" t="s">
        <v>170</v>
      </c>
      <c r="B47" s="71">
        <f>IF('1. Schools Data Sheet'!C7&gt;0,ROUND('Staffing Base Data'!$J$26*'1. Schools Data Sheet'!C18,0),0)</f>
        <v>7070</v>
      </c>
      <c r="C47" s="52">
        <f>IF('1. Schools Data Sheet'!D7&gt;0,ROUND('Staffing Base Data'!$J$26*'1. Schools Data Sheet'!D18,0),0)</f>
        <v>8484</v>
      </c>
      <c r="D47" s="52">
        <f>IF('1. Schools Data Sheet'!E7&gt;0,ROUND('Staffing Base Data'!$J$26*'1. Schools Data Sheet'!E18,0),0)</f>
        <v>9191</v>
      </c>
      <c r="E47" s="52">
        <f>IF('1. Schools Data Sheet'!F7&gt;0,ROUND('Staffing Base Data'!$J$26*'1. Schools Data Sheet'!F18,0),0)</f>
        <v>5656</v>
      </c>
      <c r="F47" s="52">
        <f>IF('1. Schools Data Sheet'!G7&gt;0,ROUND('Staffing Base Data'!$J$26*'1. Schools Data Sheet'!G18,0),0)</f>
        <v>10605</v>
      </c>
      <c r="G47" s="52">
        <f>IF('1. Schools Data Sheet'!H7&gt;0,ROUND('Staffing Base Data'!$J$26*'1. Schools Data Sheet'!H18,0),0)</f>
        <v>12020</v>
      </c>
      <c r="H47" s="52">
        <f>IF('1. Schools Data Sheet'!I7&gt;0,ROUND('Staffing Base Data'!$J$26*'1. Schools Data Sheet'!I18,0),0)</f>
        <v>12090</v>
      </c>
      <c r="I47" s="140">
        <f>IF('1. Schools Data Sheet'!J7&gt;0,ROUND('Staffing Base Data'!$J$26*'1. Schools Data Sheet'!J18,0),0)</f>
        <v>12727</v>
      </c>
      <c r="J47" s="104">
        <f>SUM(B47:I47)</f>
        <v>77843</v>
      </c>
      <c r="K47" s="151"/>
      <c r="L47" s="30"/>
      <c r="M47" s="174" t="s">
        <v>170</v>
      </c>
      <c r="N47" s="226">
        <f t="shared" si="66"/>
        <v>7070</v>
      </c>
      <c r="O47" s="227">
        <f t="shared" si="67"/>
        <v>8484</v>
      </c>
      <c r="P47" s="227">
        <f t="shared" si="68"/>
        <v>9191</v>
      </c>
      <c r="Q47" s="227">
        <f t="shared" si="69"/>
        <v>5656</v>
      </c>
      <c r="R47" s="227">
        <f t="shared" si="70"/>
        <v>10605</v>
      </c>
      <c r="S47" s="227">
        <f t="shared" si="71"/>
        <v>12020</v>
      </c>
      <c r="T47" s="227">
        <f t="shared" si="72"/>
        <v>12090</v>
      </c>
      <c r="U47" s="228">
        <f t="shared" si="73"/>
        <v>12727</v>
      </c>
      <c r="V47" s="172">
        <f>SUM(N47:U47)</f>
        <v>77843</v>
      </c>
      <c r="W47" s="175"/>
    </row>
    <row r="48" spans="1:23" ht="15" x14ac:dyDescent="0.25">
      <c r="A48" s="51" t="s">
        <v>139</v>
      </c>
      <c r="B48" s="71">
        <f>ROUND('1. Schools Data Sheet'!C18*'Expenditure Base Data'!K37,0)</f>
        <v>10726</v>
      </c>
      <c r="C48" s="52">
        <f>ROUND('1. Schools Data Sheet'!D18*'Expenditure Base Data'!$K$37,0)</f>
        <v>12871</v>
      </c>
      <c r="D48" s="52">
        <f>ROUND('1. Schools Data Sheet'!E18*'Expenditure Base Data'!$K$37,0)</f>
        <v>13944</v>
      </c>
      <c r="E48" s="52">
        <f>ROUND('1. Schools Data Sheet'!F18*'Expenditure Base Data'!$K$37,0)</f>
        <v>8581</v>
      </c>
      <c r="F48" s="52">
        <f>ROUND('1. Schools Data Sheet'!G18*'Expenditure Base Data'!$K$37,0)</f>
        <v>16089</v>
      </c>
      <c r="G48" s="52">
        <f>ROUND('1. Schools Data Sheet'!H18*'Expenditure Base Data'!$K$37,0)</f>
        <v>18234</v>
      </c>
      <c r="H48" s="52">
        <f>ROUND('1. Schools Data Sheet'!I18*'Expenditure Base Data'!$K$37,0)</f>
        <v>18342</v>
      </c>
      <c r="I48" s="72">
        <f>ROUND('1. Schools Data Sheet'!J18*'Expenditure Base Data'!$K$37,0)</f>
        <v>19307</v>
      </c>
      <c r="J48" s="104">
        <f t="shared" si="65"/>
        <v>118094</v>
      </c>
      <c r="K48" s="151"/>
      <c r="L48" s="30"/>
      <c r="M48" s="174" t="s">
        <v>139</v>
      </c>
      <c r="N48" s="226">
        <f t="shared" si="66"/>
        <v>10726</v>
      </c>
      <c r="O48" s="227">
        <f t="shared" si="67"/>
        <v>12871</v>
      </c>
      <c r="P48" s="227">
        <f t="shared" si="68"/>
        <v>13944</v>
      </c>
      <c r="Q48" s="227">
        <f t="shared" si="69"/>
        <v>8581</v>
      </c>
      <c r="R48" s="227">
        <f t="shared" si="70"/>
        <v>16089</v>
      </c>
      <c r="S48" s="227">
        <f t="shared" si="71"/>
        <v>18234</v>
      </c>
      <c r="T48" s="227">
        <f t="shared" si="72"/>
        <v>18342</v>
      </c>
      <c r="U48" s="228">
        <f t="shared" si="73"/>
        <v>19307</v>
      </c>
      <c r="V48" s="172">
        <f t="shared" ref="V48" si="76">SUM(N48:U48)</f>
        <v>118094</v>
      </c>
      <c r="W48" s="175"/>
    </row>
    <row r="49" spans="1:23" x14ac:dyDescent="0.2">
      <c r="A49" s="51"/>
      <c r="B49" s="71"/>
      <c r="C49" s="52"/>
      <c r="D49" s="134"/>
      <c r="E49" s="52"/>
      <c r="F49" s="52"/>
      <c r="G49" s="52"/>
      <c r="H49" s="52"/>
      <c r="I49" s="72"/>
      <c r="J49" s="104"/>
      <c r="K49" s="151"/>
      <c r="L49" s="30"/>
      <c r="M49" s="174"/>
      <c r="N49" s="176"/>
      <c r="O49" s="177"/>
      <c r="P49" s="178"/>
      <c r="Q49" s="177"/>
      <c r="R49" s="177"/>
      <c r="S49" s="177"/>
      <c r="T49" s="177"/>
      <c r="U49" s="189"/>
      <c r="V49" s="172"/>
      <c r="W49" s="175"/>
    </row>
    <row r="50" spans="1:23" s="28" customFormat="1" ht="13.5" thickBot="1" x14ac:dyDescent="0.25">
      <c r="A50" s="53" t="s">
        <v>140</v>
      </c>
      <c r="B50" s="76">
        <f>SUM(B44:B48)</f>
        <v>28665</v>
      </c>
      <c r="C50" s="77">
        <f t="shared" ref="C50:H50" si="77">SUM(C44:C48)</f>
        <v>31645</v>
      </c>
      <c r="D50" s="135">
        <f t="shared" si="77"/>
        <v>37663.75</v>
      </c>
      <c r="E50" s="77">
        <f t="shared" si="77"/>
        <v>29611.75</v>
      </c>
      <c r="F50" s="77">
        <f t="shared" si="77"/>
        <v>41416</v>
      </c>
      <c r="G50" s="77">
        <f t="shared" si="77"/>
        <v>41215</v>
      </c>
      <c r="H50" s="77">
        <f t="shared" si="77"/>
        <v>45731.75</v>
      </c>
      <c r="I50" s="78">
        <f>SUM(I44:I48)</f>
        <v>48931.75</v>
      </c>
      <c r="J50" s="105">
        <f>SUM(J44:J48)</f>
        <v>304880</v>
      </c>
      <c r="K50" s="152">
        <f>(J50+J46)/(J$108+J$110)</f>
        <v>0.10112138172178797</v>
      </c>
      <c r="L50" s="31"/>
      <c r="M50" s="180" t="s">
        <v>140</v>
      </c>
      <c r="N50" s="181">
        <f>SUM(N44:N48)</f>
        <v>28665</v>
      </c>
      <c r="O50" s="182">
        <f t="shared" ref="O50:T50" si="78">SUM(O44:O48)</f>
        <v>31645</v>
      </c>
      <c r="P50" s="183">
        <f t="shared" si="78"/>
        <v>37663.75</v>
      </c>
      <c r="Q50" s="182">
        <f t="shared" si="78"/>
        <v>29611.75</v>
      </c>
      <c r="R50" s="182">
        <f t="shared" si="78"/>
        <v>41416</v>
      </c>
      <c r="S50" s="182">
        <f t="shared" si="78"/>
        <v>41215</v>
      </c>
      <c r="T50" s="182">
        <f t="shared" si="78"/>
        <v>45731.75</v>
      </c>
      <c r="U50" s="190">
        <f>SUM(U44:U48)</f>
        <v>48931.75</v>
      </c>
      <c r="V50" s="185">
        <f>SUM(V44:V48)</f>
        <v>304880</v>
      </c>
      <c r="W50" s="186">
        <f>(V50+V46)/(V$108+V$110)</f>
        <v>0.10112138172178797</v>
      </c>
    </row>
    <row r="51" spans="1:23" x14ac:dyDescent="0.2">
      <c r="A51" s="51"/>
      <c r="B51" s="71"/>
      <c r="C51" s="52"/>
      <c r="D51" s="134"/>
      <c r="E51" s="52"/>
      <c r="F51" s="52"/>
      <c r="G51" s="52"/>
      <c r="H51" s="52"/>
      <c r="I51" s="72"/>
      <c r="J51" s="104"/>
      <c r="K51" s="151"/>
      <c r="L51" s="30"/>
      <c r="M51" s="174"/>
      <c r="N51" s="176"/>
      <c r="O51" s="177"/>
      <c r="P51" s="178"/>
      <c r="Q51" s="177"/>
      <c r="R51" s="177"/>
      <c r="S51" s="177"/>
      <c r="T51" s="177"/>
      <c r="U51" s="189"/>
      <c r="V51" s="172"/>
      <c r="W51" s="175"/>
    </row>
    <row r="52" spans="1:23" x14ac:dyDescent="0.2">
      <c r="A52" s="53" t="s">
        <v>102</v>
      </c>
      <c r="B52" s="71"/>
      <c r="C52" s="52"/>
      <c r="D52" s="134"/>
      <c r="E52" s="52"/>
      <c r="F52" s="52"/>
      <c r="G52" s="52"/>
      <c r="H52" s="52"/>
      <c r="I52" s="72"/>
      <c r="J52" s="104"/>
      <c r="K52" s="151"/>
      <c r="L52" s="30"/>
      <c r="M52" s="180" t="s">
        <v>102</v>
      </c>
      <c r="N52" s="176"/>
      <c r="O52" s="177"/>
      <c r="P52" s="178"/>
      <c r="Q52" s="177"/>
      <c r="R52" s="177"/>
      <c r="S52" s="177"/>
      <c r="T52" s="177"/>
      <c r="U52" s="189"/>
      <c r="V52" s="172"/>
      <c r="W52" s="175"/>
    </row>
    <row r="53" spans="1:23" ht="15" x14ac:dyDescent="0.25">
      <c r="A53" s="51" t="s">
        <v>120</v>
      </c>
      <c r="B53" s="71">
        <f>ROUND('2. Projected Funding'!C9*'Expenditure Base Data'!K42,0)</f>
        <v>5387</v>
      </c>
      <c r="C53" s="52">
        <f>ROUND('2. Projected Funding'!D9*'Expenditure Base Data'!$K$42,0)</f>
        <v>7218</v>
      </c>
      <c r="D53" s="134">
        <f>ROUND('2. Projected Funding'!E9*'Expenditure Base Data'!$K$42,0)</f>
        <v>7003</v>
      </c>
      <c r="E53" s="52">
        <f>ROUND('2. Projected Funding'!F9*'Expenditure Base Data'!$K$42,0)</f>
        <v>3555</v>
      </c>
      <c r="F53" s="52">
        <f>ROUND('2. Projected Funding'!G9*'Expenditure Base Data'!$K$42,0)</f>
        <v>8834</v>
      </c>
      <c r="G53" s="52">
        <f>ROUND('2. Projected Funding'!H9*'Expenditure Base Data'!$K$42,0)</f>
        <v>10881</v>
      </c>
      <c r="H53" s="52">
        <f>ROUND('2. Projected Funding'!I9*'Expenditure Base Data'!$K$42,0)</f>
        <v>11204</v>
      </c>
      <c r="I53" s="72">
        <f>ROUND('2. Projected Funding'!J9*'Expenditure Base Data'!$K$42,0)</f>
        <v>11851</v>
      </c>
      <c r="J53" s="104">
        <f t="shared" ref="J53:J56" si="79">SUM(B53:I53)</f>
        <v>65933</v>
      </c>
      <c r="K53" s="151"/>
      <c r="L53" s="30"/>
      <c r="M53" s="174" t="s">
        <v>120</v>
      </c>
      <c r="N53" s="226">
        <f t="shared" ref="N53:N56" si="80">B53</f>
        <v>5387</v>
      </c>
      <c r="O53" s="227">
        <f t="shared" ref="O53:O56" si="81">C53</f>
        <v>7218</v>
      </c>
      <c r="P53" s="227">
        <f t="shared" ref="P53:P56" si="82">D53</f>
        <v>7003</v>
      </c>
      <c r="Q53" s="227">
        <f t="shared" ref="Q53:Q56" si="83">E53</f>
        <v>3555</v>
      </c>
      <c r="R53" s="227">
        <f t="shared" ref="R53:R56" si="84">F53</f>
        <v>8834</v>
      </c>
      <c r="S53" s="227">
        <f t="shared" ref="S53:S56" si="85">G53</f>
        <v>10881</v>
      </c>
      <c r="T53" s="227">
        <f t="shared" ref="T53:T56" si="86">H53</f>
        <v>11204</v>
      </c>
      <c r="U53" s="228">
        <f t="shared" ref="U53:U56" si="87">I53</f>
        <v>11851</v>
      </c>
      <c r="V53" s="172">
        <f t="shared" ref="V53:V56" si="88">SUM(N53:U53)</f>
        <v>65933</v>
      </c>
      <c r="W53" s="175"/>
    </row>
    <row r="54" spans="1:23" ht="15" x14ac:dyDescent="0.25">
      <c r="A54" s="51" t="s">
        <v>121</v>
      </c>
      <c r="B54" s="71">
        <f>IF('1. Schools Data Sheet'!C7&gt;0,ROUND('2. Projected Funding'!C9/7*6*5,0)+8000,0)</f>
        <v>8214</v>
      </c>
      <c r="C54" s="52">
        <f>IF('1. Schools Data Sheet'!D7&gt;0,ROUND('2. Projected Funding'!D9/7*6*5,0)+8000,0)</f>
        <v>8287</v>
      </c>
      <c r="D54" s="134">
        <f>IF('1. Schools Data Sheet'!E7&gt;0,ROUND('2. Projected Funding'!E9/7*6*5,0)+8000,0)</f>
        <v>8279</v>
      </c>
      <c r="E54" s="52">
        <f>IF('1. Schools Data Sheet'!F7&gt;0,ROUND('2. Projected Funding'!F9/7*6*5,0)+8000,0)</f>
        <v>8141</v>
      </c>
      <c r="F54" s="52">
        <f>IF('1. Schools Data Sheet'!G7&gt;0,ROUND('2. Projected Funding'!G9/7*6*5,0)+8000,0)</f>
        <v>8351</v>
      </c>
      <c r="G54" s="52">
        <f>IF('1. Schools Data Sheet'!H7&gt;0,ROUND('2. Projected Funding'!H9/7*6*5,0)+8000,0)</f>
        <v>8433</v>
      </c>
      <c r="H54" s="52">
        <f>IF('1. Schools Data Sheet'!I7&gt;0,ROUND('2. Projected Funding'!I9/7*6*5,0)+8000,0)</f>
        <v>8446</v>
      </c>
      <c r="I54" s="72">
        <f>IF('1. Schools Data Sheet'!J7&gt;0,ROUND('2. Projected Funding'!J9/7*6*5,0)+8000,0)</f>
        <v>8471</v>
      </c>
      <c r="J54" s="104">
        <f t="shared" si="79"/>
        <v>66622</v>
      </c>
      <c r="K54" s="151"/>
      <c r="L54" s="30"/>
      <c r="M54" s="174" t="s">
        <v>121</v>
      </c>
      <c r="N54" s="226">
        <f t="shared" si="80"/>
        <v>8214</v>
      </c>
      <c r="O54" s="227">
        <f t="shared" si="81"/>
        <v>8287</v>
      </c>
      <c r="P54" s="227">
        <f t="shared" si="82"/>
        <v>8279</v>
      </c>
      <c r="Q54" s="227">
        <f t="shared" si="83"/>
        <v>8141</v>
      </c>
      <c r="R54" s="227">
        <f t="shared" si="84"/>
        <v>8351</v>
      </c>
      <c r="S54" s="227">
        <f t="shared" si="85"/>
        <v>8433</v>
      </c>
      <c r="T54" s="227">
        <f t="shared" si="86"/>
        <v>8446</v>
      </c>
      <c r="U54" s="228">
        <f t="shared" si="87"/>
        <v>8471</v>
      </c>
      <c r="V54" s="172">
        <f t="shared" si="88"/>
        <v>66622</v>
      </c>
      <c r="W54" s="175"/>
    </row>
    <row r="55" spans="1:23" ht="15" x14ac:dyDescent="0.25">
      <c r="A55" s="51" t="s">
        <v>122</v>
      </c>
      <c r="B55" s="71">
        <f>ROUND('2. Projected Funding'!C9*'Expenditure Base Data'!K44,0)</f>
        <v>7247</v>
      </c>
      <c r="C55" s="52">
        <f>ROUND('2. Projected Funding'!D9*'Expenditure Base Data'!$K$44,0)</f>
        <v>9711</v>
      </c>
      <c r="D55" s="134">
        <f>ROUND('2. Projected Funding'!E9*'Expenditure Base Data'!$K$44,0)</f>
        <v>9421</v>
      </c>
      <c r="E55" s="52">
        <f>ROUND('2. Projected Funding'!F9*'Expenditure Base Data'!$K$44,0)</f>
        <v>4783</v>
      </c>
      <c r="F55" s="52">
        <f>ROUND('2. Projected Funding'!G9*'Expenditure Base Data'!$K$44,0)</f>
        <v>11885</v>
      </c>
      <c r="G55" s="52">
        <f>ROUND('2. Projected Funding'!H9*'Expenditure Base Data'!$K$44,0)</f>
        <v>14639</v>
      </c>
      <c r="H55" s="52">
        <f>ROUND('2. Projected Funding'!I9*'Expenditure Base Data'!$K$44,0)</f>
        <v>15074</v>
      </c>
      <c r="I55" s="72">
        <f>ROUND('2. Projected Funding'!J9*'Expenditure Base Data'!$K$44,0)</f>
        <v>15943</v>
      </c>
      <c r="J55" s="104">
        <f t="shared" si="79"/>
        <v>88703</v>
      </c>
      <c r="K55" s="151"/>
      <c r="L55" s="30"/>
      <c r="M55" s="174" t="s">
        <v>122</v>
      </c>
      <c r="N55" s="226">
        <f t="shared" si="80"/>
        <v>7247</v>
      </c>
      <c r="O55" s="227">
        <f t="shared" si="81"/>
        <v>9711</v>
      </c>
      <c r="P55" s="227">
        <f t="shared" si="82"/>
        <v>9421</v>
      </c>
      <c r="Q55" s="227">
        <f t="shared" si="83"/>
        <v>4783</v>
      </c>
      <c r="R55" s="227">
        <f t="shared" si="84"/>
        <v>11885</v>
      </c>
      <c r="S55" s="227">
        <f t="shared" si="85"/>
        <v>14639</v>
      </c>
      <c r="T55" s="227">
        <f t="shared" si="86"/>
        <v>15074</v>
      </c>
      <c r="U55" s="228">
        <f t="shared" si="87"/>
        <v>15943</v>
      </c>
      <c r="V55" s="172">
        <f t="shared" si="88"/>
        <v>88703</v>
      </c>
      <c r="W55" s="175"/>
    </row>
    <row r="56" spans="1:23" ht="15" x14ac:dyDescent="0.25">
      <c r="A56" s="51" t="s">
        <v>143</v>
      </c>
      <c r="B56" s="71">
        <f>ROUND('2. Projected Funding'!C9*'Expenditure Base Data'!K45,0)</f>
        <v>6304</v>
      </c>
      <c r="C56" s="52">
        <f>ROUND('2. Projected Funding'!D9*'Expenditure Base Data'!$K$45,0)</f>
        <v>8447</v>
      </c>
      <c r="D56" s="134">
        <f>ROUND('2. Projected Funding'!E9*'Expenditure Base Data'!$K$45,0)</f>
        <v>8195</v>
      </c>
      <c r="E56" s="52">
        <f>ROUND('2. Projected Funding'!F9*'Expenditure Base Data'!$K$45,0)</f>
        <v>4160</v>
      </c>
      <c r="F56" s="52">
        <f>ROUND('2. Projected Funding'!G9*'Expenditure Base Data'!$K$45,0)</f>
        <v>10338</v>
      </c>
      <c r="G56" s="52">
        <f>ROUND('2. Projected Funding'!H9*'Expenditure Base Data'!$K$45,0)</f>
        <v>12733</v>
      </c>
      <c r="H56" s="52">
        <f>ROUND('2. Projected Funding'!I9*'Expenditure Base Data'!$K$45,0)</f>
        <v>13111</v>
      </c>
      <c r="I56" s="72">
        <f>ROUND('2. Projected Funding'!J9*'Expenditure Base Data'!$K$45,0)</f>
        <v>13868</v>
      </c>
      <c r="J56" s="104">
        <f t="shared" si="79"/>
        <v>77156</v>
      </c>
      <c r="K56" s="151"/>
      <c r="L56" s="30"/>
      <c r="M56" s="174" t="s">
        <v>143</v>
      </c>
      <c r="N56" s="226">
        <f t="shared" si="80"/>
        <v>6304</v>
      </c>
      <c r="O56" s="227">
        <f t="shared" si="81"/>
        <v>8447</v>
      </c>
      <c r="P56" s="227">
        <f t="shared" si="82"/>
        <v>8195</v>
      </c>
      <c r="Q56" s="227">
        <f t="shared" si="83"/>
        <v>4160</v>
      </c>
      <c r="R56" s="227">
        <f t="shared" si="84"/>
        <v>10338</v>
      </c>
      <c r="S56" s="227">
        <f t="shared" si="85"/>
        <v>12733</v>
      </c>
      <c r="T56" s="227">
        <f t="shared" si="86"/>
        <v>13111</v>
      </c>
      <c r="U56" s="228">
        <f t="shared" si="87"/>
        <v>13868</v>
      </c>
      <c r="V56" s="172">
        <f t="shared" si="88"/>
        <v>77156</v>
      </c>
      <c r="W56" s="175"/>
    </row>
    <row r="57" spans="1:23" x14ac:dyDescent="0.2">
      <c r="A57" s="51"/>
      <c r="B57" s="71"/>
      <c r="C57" s="52"/>
      <c r="D57" s="134"/>
      <c r="E57" s="52"/>
      <c r="F57" s="52"/>
      <c r="G57" s="52"/>
      <c r="H57" s="52"/>
      <c r="I57" s="72"/>
      <c r="J57" s="104"/>
      <c r="K57" s="151"/>
      <c r="L57" s="30"/>
      <c r="M57" s="174"/>
      <c r="N57" s="176"/>
      <c r="O57" s="177"/>
      <c r="P57" s="178"/>
      <c r="Q57" s="177"/>
      <c r="R57" s="177"/>
      <c r="S57" s="177"/>
      <c r="T57" s="177"/>
      <c r="U57" s="189"/>
      <c r="V57" s="172"/>
      <c r="W57" s="175"/>
    </row>
    <row r="58" spans="1:23" s="28" customFormat="1" ht="13.5" thickBot="1" x14ac:dyDescent="0.25">
      <c r="A58" s="53" t="s">
        <v>144</v>
      </c>
      <c r="B58" s="76">
        <f>SUM(B53:B56)</f>
        <v>27152</v>
      </c>
      <c r="C58" s="77">
        <f t="shared" ref="C58:H58" si="89">SUM(C53:C56)</f>
        <v>33663</v>
      </c>
      <c r="D58" s="135">
        <f t="shared" si="89"/>
        <v>32898</v>
      </c>
      <c r="E58" s="77">
        <f t="shared" si="89"/>
        <v>20639</v>
      </c>
      <c r="F58" s="77">
        <f t="shared" si="89"/>
        <v>39408</v>
      </c>
      <c r="G58" s="77">
        <f t="shared" si="89"/>
        <v>46686</v>
      </c>
      <c r="H58" s="77">
        <f t="shared" si="89"/>
        <v>47835</v>
      </c>
      <c r="I58" s="78">
        <f>SUM(I53:I56)</f>
        <v>50133</v>
      </c>
      <c r="J58" s="105">
        <f>SUM(J53:J56)</f>
        <v>298414</v>
      </c>
      <c r="K58" s="152">
        <f>(J58-J54)/(J$108+J$110)</f>
        <v>6.8183378554181273E-2</v>
      </c>
      <c r="L58" s="31"/>
      <c r="M58" s="180" t="s">
        <v>144</v>
      </c>
      <c r="N58" s="181">
        <f>SUM(N53:N56)</f>
        <v>27152</v>
      </c>
      <c r="O58" s="182">
        <f t="shared" ref="O58:T58" si="90">SUM(O53:O56)</f>
        <v>33663</v>
      </c>
      <c r="P58" s="183">
        <f t="shared" si="90"/>
        <v>32898</v>
      </c>
      <c r="Q58" s="182">
        <f t="shared" si="90"/>
        <v>20639</v>
      </c>
      <c r="R58" s="182">
        <f t="shared" si="90"/>
        <v>39408</v>
      </c>
      <c r="S58" s="182">
        <f t="shared" si="90"/>
        <v>46686</v>
      </c>
      <c r="T58" s="182">
        <f t="shared" si="90"/>
        <v>47835</v>
      </c>
      <c r="U58" s="190">
        <f>SUM(U53:U56)</f>
        <v>50133</v>
      </c>
      <c r="V58" s="185">
        <f>SUM(V53:V56)</f>
        <v>298414</v>
      </c>
      <c r="W58" s="186">
        <f>(V58-V54)/(V$108+V$110)</f>
        <v>6.8183378554181273E-2</v>
      </c>
    </row>
    <row r="59" spans="1:23" x14ac:dyDescent="0.2">
      <c r="A59" s="51"/>
      <c r="B59" s="71"/>
      <c r="C59" s="52"/>
      <c r="D59" s="134"/>
      <c r="E59" s="52"/>
      <c r="F59" s="52"/>
      <c r="G59" s="52"/>
      <c r="H59" s="52"/>
      <c r="I59" s="72"/>
      <c r="J59" s="104"/>
      <c r="K59" s="151"/>
      <c r="L59" s="30"/>
      <c r="M59" s="174"/>
      <c r="N59" s="176"/>
      <c r="O59" s="177"/>
      <c r="P59" s="178"/>
      <c r="Q59" s="177"/>
      <c r="R59" s="177"/>
      <c r="S59" s="177"/>
      <c r="T59" s="177"/>
      <c r="U59" s="189"/>
      <c r="V59" s="172"/>
      <c r="W59" s="175"/>
    </row>
    <row r="60" spans="1:23" x14ac:dyDescent="0.2">
      <c r="A60" s="53" t="s">
        <v>103</v>
      </c>
      <c r="B60" s="71"/>
      <c r="C60" s="52"/>
      <c r="D60" s="134"/>
      <c r="E60" s="52"/>
      <c r="F60" s="52"/>
      <c r="G60" s="52"/>
      <c r="H60" s="52"/>
      <c r="I60" s="72"/>
      <c r="J60" s="104"/>
      <c r="K60" s="151"/>
      <c r="L60" s="30"/>
      <c r="M60" s="180" t="s">
        <v>103</v>
      </c>
      <c r="N60" s="176"/>
      <c r="O60" s="177"/>
      <c r="P60" s="178"/>
      <c r="Q60" s="177"/>
      <c r="R60" s="177"/>
      <c r="S60" s="177"/>
      <c r="T60" s="177"/>
      <c r="U60" s="189"/>
      <c r="V60" s="172"/>
      <c r="W60" s="175"/>
    </row>
    <row r="61" spans="1:23" ht="15" x14ac:dyDescent="0.25">
      <c r="A61" s="51" t="s">
        <v>145</v>
      </c>
      <c r="B61" s="71">
        <f>IF('1. Schools Data Sheet'!C7&gt;0,IF('2. Projected Funding'!C9&lt;100,'Expenditure Base Data'!$H$50,'Expenditure Base Data'!$J$50),0)</f>
        <v>1082</v>
      </c>
      <c r="C61" s="52">
        <f>IF('1. Schools Data Sheet'!D7&gt;0,IF('2. Projected Funding'!D9&lt;100,'Expenditure Base Data'!$H$50,'Expenditure Base Data'!$J$50),0)</f>
        <v>1082</v>
      </c>
      <c r="D61" s="63">
        <f>IF('1. Schools Data Sheet'!E7&gt;0,IF('2. Projected Funding'!E9&lt;100,'Expenditure Base Data'!$H$50,'Expenditure Base Data'!$J$50),0)</f>
        <v>1082</v>
      </c>
      <c r="E61" s="101">
        <f>IF('1. Schools Data Sheet'!F7&gt;0,IF('2. Projected Funding'!F9&lt;100,'Expenditure Base Data'!$H$50,'Expenditure Base Data'!$J$50),0)</f>
        <v>1082</v>
      </c>
      <c r="F61" s="101">
        <f>IF('1. Schools Data Sheet'!G7&gt;0,IF('2. Projected Funding'!G9&lt;100,'Expenditure Base Data'!$H$50,'Expenditure Base Data'!$J$50),0)</f>
        <v>1082</v>
      </c>
      <c r="G61" s="101">
        <f>IF('1. Schools Data Sheet'!H7&gt;0,IF('2. Projected Funding'!H9&lt;100,'Expenditure Base Data'!$H$50,'Expenditure Base Data'!$J$50),0)</f>
        <v>1562</v>
      </c>
      <c r="H61" s="101">
        <f>IF('1. Schools Data Sheet'!I7&gt;0,IF('2. Projected Funding'!I9&lt;100,'Expenditure Base Data'!$H$50,'Expenditure Base Data'!$J$50),0)</f>
        <v>1562</v>
      </c>
      <c r="I61" s="72">
        <f>IF('1. Schools Data Sheet'!J7&gt;0,IF('2. Projected Funding'!J9&lt;100,'Expenditure Base Data'!$H$50,'Expenditure Base Data'!$J$50),0)</f>
        <v>1562</v>
      </c>
      <c r="J61" s="104">
        <f t="shared" ref="J61:J64" si="91">SUM(B61:I61)</f>
        <v>10096</v>
      </c>
      <c r="K61" s="151"/>
      <c r="L61" s="42"/>
      <c r="M61" s="174" t="s">
        <v>145</v>
      </c>
      <c r="N61" s="226">
        <f t="shared" ref="N61:N64" si="92">B61</f>
        <v>1082</v>
      </c>
      <c r="O61" s="227">
        <f t="shared" ref="O61:O64" si="93">C61</f>
        <v>1082</v>
      </c>
      <c r="P61" s="227">
        <f t="shared" ref="P61:P64" si="94">D61</f>
        <v>1082</v>
      </c>
      <c r="Q61" s="227">
        <f t="shared" ref="Q61:Q64" si="95">E61</f>
        <v>1082</v>
      </c>
      <c r="R61" s="227">
        <f t="shared" ref="R61:R64" si="96">F61</f>
        <v>1082</v>
      </c>
      <c r="S61" s="227">
        <f t="shared" ref="S61:S64" si="97">G61</f>
        <v>1562</v>
      </c>
      <c r="T61" s="227">
        <f t="shared" ref="T61:T64" si="98">H61</f>
        <v>1562</v>
      </c>
      <c r="U61" s="228">
        <f t="shared" ref="U61:U64" si="99">I61</f>
        <v>1562</v>
      </c>
      <c r="V61" s="172">
        <f t="shared" ref="V61:V64" si="100">SUM(N61:U61)</f>
        <v>10096</v>
      </c>
      <c r="W61" s="175"/>
    </row>
    <row r="62" spans="1:23" ht="15" x14ac:dyDescent="0.25">
      <c r="A62" s="51" t="s">
        <v>146</v>
      </c>
      <c r="B62" s="71">
        <f>ROUND('2. Projected Funding'!C$9*'Expenditure Base Data'!K51,0)</f>
        <v>3021</v>
      </c>
      <c r="C62" s="52">
        <f>ROUND('2. Projected Funding'!D$9*'Expenditure Base Data'!$K$51,0)</f>
        <v>4049</v>
      </c>
      <c r="D62" s="134">
        <f>ROUND('2. Projected Funding'!E$9*'Expenditure Base Data'!$K$51,0)</f>
        <v>3928</v>
      </c>
      <c r="E62" s="52">
        <f>ROUND('2. Projected Funding'!F$9*'Expenditure Base Data'!$K$51,0)</f>
        <v>1994</v>
      </c>
      <c r="F62" s="52">
        <f>ROUND('2. Projected Funding'!G$9*'Expenditure Base Data'!$K$51,0)</f>
        <v>4955</v>
      </c>
      <c r="G62" s="52">
        <f>ROUND('2. Projected Funding'!H$9*'Expenditure Base Data'!$K$51,0)</f>
        <v>6103</v>
      </c>
      <c r="H62" s="52">
        <f>ROUND('2. Projected Funding'!I$9*'Expenditure Base Data'!$K$51,0)</f>
        <v>6284</v>
      </c>
      <c r="I62" s="72">
        <f>ROUND('2. Projected Funding'!J$9*'Expenditure Base Data'!$K$51,0)</f>
        <v>6647</v>
      </c>
      <c r="J62" s="104">
        <f t="shared" si="91"/>
        <v>36981</v>
      </c>
      <c r="K62" s="151"/>
      <c r="L62" s="30"/>
      <c r="M62" s="174" t="s">
        <v>146</v>
      </c>
      <c r="N62" s="226">
        <f t="shared" si="92"/>
        <v>3021</v>
      </c>
      <c r="O62" s="227">
        <f t="shared" si="93"/>
        <v>4049</v>
      </c>
      <c r="P62" s="227">
        <f t="shared" si="94"/>
        <v>3928</v>
      </c>
      <c r="Q62" s="227">
        <f t="shared" si="95"/>
        <v>1994</v>
      </c>
      <c r="R62" s="227">
        <f t="shared" si="96"/>
        <v>4955</v>
      </c>
      <c r="S62" s="227">
        <f t="shared" si="97"/>
        <v>6103</v>
      </c>
      <c r="T62" s="227">
        <f t="shared" si="98"/>
        <v>6284</v>
      </c>
      <c r="U62" s="228">
        <f t="shared" si="99"/>
        <v>6647</v>
      </c>
      <c r="V62" s="172">
        <f t="shared" si="100"/>
        <v>36981</v>
      </c>
      <c r="W62" s="175"/>
    </row>
    <row r="63" spans="1:23" ht="15" x14ac:dyDescent="0.25">
      <c r="A63" s="51" t="s">
        <v>123</v>
      </c>
      <c r="B63" s="71">
        <f>IF('1. Schools Data Sheet'!C7&gt;0,IF('2. Projected Funding'!C9&lt;100,'Expenditure Base Data'!$H$52,'Expenditure Base Data'!$J$52),0)</f>
        <v>2796</v>
      </c>
      <c r="C63" s="52">
        <f>IF('1. Schools Data Sheet'!D7&gt;0,IF('2. Projected Funding'!D9&lt;100,'Expenditure Base Data'!$H$52,'Expenditure Base Data'!$J$52),0)</f>
        <v>2796</v>
      </c>
      <c r="D63" s="63">
        <f>IF('1. Schools Data Sheet'!E7&gt;0,IF('2. Projected Funding'!E9&lt;100,'Expenditure Base Data'!$H$52,'Expenditure Base Data'!$J$52),0)</f>
        <v>2796</v>
      </c>
      <c r="E63" s="101">
        <f>IF('1. Schools Data Sheet'!F7&gt;0,IF('2. Projected Funding'!F9&lt;100,'Expenditure Base Data'!$H$52,'Expenditure Base Data'!$J$52),0)</f>
        <v>2796</v>
      </c>
      <c r="F63" s="101">
        <f>IF('1. Schools Data Sheet'!G7&gt;0,IF('2. Projected Funding'!G9&lt;100,'Expenditure Base Data'!$H$52,'Expenditure Base Data'!$J$52),0)</f>
        <v>2796</v>
      </c>
      <c r="G63" s="101">
        <f>IF('1. Schools Data Sheet'!H7&gt;0,IF('2. Projected Funding'!H9&lt;100,'Expenditure Base Data'!$H$52,'Expenditure Base Data'!$J$52),0)</f>
        <v>4037</v>
      </c>
      <c r="H63" s="101">
        <f>IF('1. Schools Data Sheet'!I7&gt;0,IF('2. Projected Funding'!I9&lt;100,'Expenditure Base Data'!$H$52,'Expenditure Base Data'!$J$52),0)</f>
        <v>4037</v>
      </c>
      <c r="I63" s="72">
        <f>IF('1. Schools Data Sheet'!J7&gt;0,IF('2. Projected Funding'!J9&lt;100,'Expenditure Base Data'!$H$52,'Expenditure Base Data'!$J$52),0)</f>
        <v>4037</v>
      </c>
      <c r="J63" s="104">
        <f t="shared" si="91"/>
        <v>26091</v>
      </c>
      <c r="K63" s="151"/>
      <c r="L63" s="30"/>
      <c r="M63" s="174" t="s">
        <v>123</v>
      </c>
      <c r="N63" s="226">
        <f t="shared" si="92"/>
        <v>2796</v>
      </c>
      <c r="O63" s="227">
        <f t="shared" si="93"/>
        <v>2796</v>
      </c>
      <c r="P63" s="227">
        <f t="shared" si="94"/>
        <v>2796</v>
      </c>
      <c r="Q63" s="227">
        <f t="shared" si="95"/>
        <v>2796</v>
      </c>
      <c r="R63" s="227">
        <f t="shared" si="96"/>
        <v>2796</v>
      </c>
      <c r="S63" s="227">
        <f t="shared" si="97"/>
        <v>4037</v>
      </c>
      <c r="T63" s="227">
        <f t="shared" si="98"/>
        <v>4037</v>
      </c>
      <c r="U63" s="228">
        <f t="shared" si="99"/>
        <v>4037</v>
      </c>
      <c r="V63" s="172">
        <f t="shared" si="100"/>
        <v>26091</v>
      </c>
      <c r="W63" s="175"/>
    </row>
    <row r="64" spans="1:23" ht="15" x14ac:dyDescent="0.25">
      <c r="A64" s="51" t="s">
        <v>147</v>
      </c>
      <c r="B64" s="71">
        <f>ROUND('2. Projected Funding'!C$9*'Expenditure Base Data'!K53,0)</f>
        <v>5493</v>
      </c>
      <c r="C64" s="52">
        <f>ROUND('2. Projected Funding'!D$9*'Expenditure Base Data'!$K$53,0)</f>
        <v>7361</v>
      </c>
      <c r="D64" s="134">
        <f>ROUND('2. Projected Funding'!E$9*'Expenditure Base Data'!$K$53,0)</f>
        <v>7141</v>
      </c>
      <c r="E64" s="52">
        <f>ROUND('2. Projected Funding'!F$9*'Expenditure Base Data'!$K$53,0)</f>
        <v>3626</v>
      </c>
      <c r="F64" s="52">
        <f>ROUND('2. Projected Funding'!G$9*'Expenditure Base Data'!$K$53,0)</f>
        <v>9009</v>
      </c>
      <c r="G64" s="52">
        <f>ROUND('2. Projected Funding'!H$9*'Expenditure Base Data'!$K$53,0)</f>
        <v>11096</v>
      </c>
      <c r="H64" s="52">
        <f>ROUND('2. Projected Funding'!I$9*'Expenditure Base Data'!$K$53,0)</f>
        <v>11426</v>
      </c>
      <c r="I64" s="72">
        <f>ROUND('2. Projected Funding'!J$9*'Expenditure Base Data'!$K$53,0)</f>
        <v>12085</v>
      </c>
      <c r="J64" s="104">
        <f t="shared" si="91"/>
        <v>67237</v>
      </c>
      <c r="K64" s="151"/>
      <c r="L64" s="30"/>
      <c r="M64" s="174" t="s">
        <v>147</v>
      </c>
      <c r="N64" s="226">
        <f t="shared" si="92"/>
        <v>5493</v>
      </c>
      <c r="O64" s="227">
        <f t="shared" si="93"/>
        <v>7361</v>
      </c>
      <c r="P64" s="227">
        <f t="shared" si="94"/>
        <v>7141</v>
      </c>
      <c r="Q64" s="227">
        <f t="shared" si="95"/>
        <v>3626</v>
      </c>
      <c r="R64" s="227">
        <f t="shared" si="96"/>
        <v>9009</v>
      </c>
      <c r="S64" s="227">
        <f t="shared" si="97"/>
        <v>11096</v>
      </c>
      <c r="T64" s="227">
        <f t="shared" si="98"/>
        <v>11426</v>
      </c>
      <c r="U64" s="228">
        <f t="shared" si="99"/>
        <v>12085</v>
      </c>
      <c r="V64" s="172">
        <f t="shared" si="100"/>
        <v>67237</v>
      </c>
      <c r="W64" s="175"/>
    </row>
    <row r="65" spans="1:23" x14ac:dyDescent="0.2">
      <c r="A65" s="51"/>
      <c r="B65" s="71"/>
      <c r="C65" s="52"/>
      <c r="D65" s="134"/>
      <c r="E65" s="52"/>
      <c r="F65" s="52"/>
      <c r="G65" s="52"/>
      <c r="H65" s="52"/>
      <c r="I65" s="72"/>
      <c r="J65" s="104"/>
      <c r="K65" s="151"/>
      <c r="L65" s="30"/>
      <c r="M65" s="174"/>
      <c r="N65" s="176"/>
      <c r="O65" s="177"/>
      <c r="P65" s="178"/>
      <c r="Q65" s="177"/>
      <c r="R65" s="177"/>
      <c r="S65" s="177"/>
      <c r="T65" s="177"/>
      <c r="U65" s="189"/>
      <c r="V65" s="172"/>
      <c r="W65" s="175"/>
    </row>
    <row r="66" spans="1:23" ht="13.5" thickBot="1" x14ac:dyDescent="0.25">
      <c r="A66" s="53" t="s">
        <v>148</v>
      </c>
      <c r="B66" s="76">
        <f>SUM(B61:B64)</f>
        <v>12392</v>
      </c>
      <c r="C66" s="77">
        <f t="shared" ref="C66:H66" si="101">SUM(C61:C64)</f>
        <v>15288</v>
      </c>
      <c r="D66" s="135">
        <f t="shared" si="101"/>
        <v>14947</v>
      </c>
      <c r="E66" s="77">
        <f t="shared" si="101"/>
        <v>9498</v>
      </c>
      <c r="F66" s="77">
        <f t="shared" si="101"/>
        <v>17842</v>
      </c>
      <c r="G66" s="77">
        <f t="shared" si="101"/>
        <v>22798</v>
      </c>
      <c r="H66" s="77">
        <f t="shared" si="101"/>
        <v>23309</v>
      </c>
      <c r="I66" s="78">
        <f>SUM(I61:I64)</f>
        <v>24331</v>
      </c>
      <c r="J66" s="105">
        <f>SUM(J61:J64)</f>
        <v>140405</v>
      </c>
      <c r="K66" s="152">
        <f>J66/(J$108+J$110)</f>
        <v>4.1301197909763152E-2</v>
      </c>
      <c r="L66" s="30"/>
      <c r="M66" s="180" t="s">
        <v>148</v>
      </c>
      <c r="N66" s="181">
        <f>SUM(N61:N64)</f>
        <v>12392</v>
      </c>
      <c r="O66" s="182">
        <f t="shared" ref="O66:T66" si="102">SUM(O61:O64)</f>
        <v>15288</v>
      </c>
      <c r="P66" s="183">
        <f t="shared" si="102"/>
        <v>14947</v>
      </c>
      <c r="Q66" s="182">
        <f t="shared" si="102"/>
        <v>9498</v>
      </c>
      <c r="R66" s="182">
        <f t="shared" si="102"/>
        <v>17842</v>
      </c>
      <c r="S66" s="182">
        <f t="shared" si="102"/>
        <v>22798</v>
      </c>
      <c r="T66" s="182">
        <f t="shared" si="102"/>
        <v>23309</v>
      </c>
      <c r="U66" s="190">
        <f>SUM(U61:U64)</f>
        <v>24331</v>
      </c>
      <c r="V66" s="185">
        <f>SUM(V61:V64)</f>
        <v>140405</v>
      </c>
      <c r="W66" s="186">
        <f>V66/(V$108+V$110)</f>
        <v>4.1301197909763152E-2</v>
      </c>
    </row>
    <row r="67" spans="1:23" x14ac:dyDescent="0.2">
      <c r="A67" s="51"/>
      <c r="B67" s="71"/>
      <c r="C67" s="134"/>
      <c r="D67" s="52"/>
      <c r="E67" s="52"/>
      <c r="F67" s="52"/>
      <c r="G67" s="52"/>
      <c r="H67" s="52"/>
      <c r="I67" s="72"/>
      <c r="J67" s="104"/>
      <c r="K67" s="151"/>
      <c r="L67" s="30"/>
      <c r="M67" s="174"/>
      <c r="N67" s="176"/>
      <c r="O67" s="178"/>
      <c r="P67" s="177"/>
      <c r="Q67" s="177"/>
      <c r="R67" s="177"/>
      <c r="S67" s="177"/>
      <c r="T67" s="177"/>
      <c r="U67" s="189"/>
      <c r="V67" s="172"/>
      <c r="W67" s="175"/>
    </row>
    <row r="68" spans="1:23" x14ac:dyDescent="0.2">
      <c r="A68" s="53" t="s">
        <v>149</v>
      </c>
      <c r="B68" s="71"/>
      <c r="C68" s="134"/>
      <c r="D68" s="52"/>
      <c r="E68" s="52"/>
      <c r="F68" s="52"/>
      <c r="G68" s="52"/>
      <c r="H68" s="52"/>
      <c r="I68" s="72"/>
      <c r="J68" s="104"/>
      <c r="K68" s="151"/>
      <c r="L68" s="30"/>
      <c r="M68" s="180" t="s">
        <v>149</v>
      </c>
      <c r="N68" s="176"/>
      <c r="O68" s="178"/>
      <c r="P68" s="177"/>
      <c r="Q68" s="177"/>
      <c r="R68" s="177"/>
      <c r="S68" s="177"/>
      <c r="T68" s="177"/>
      <c r="U68" s="189"/>
      <c r="V68" s="172"/>
      <c r="W68" s="175"/>
    </row>
    <row r="69" spans="1:23" ht="15" x14ac:dyDescent="0.25">
      <c r="A69" s="51" t="s">
        <v>253</v>
      </c>
      <c r="B69" s="232">
        <v>0</v>
      </c>
      <c r="C69" s="233">
        <v>0</v>
      </c>
      <c r="D69" s="234">
        <v>0</v>
      </c>
      <c r="E69" s="234">
        <v>0</v>
      </c>
      <c r="F69" s="234">
        <v>0</v>
      </c>
      <c r="G69" s="234">
        <v>0</v>
      </c>
      <c r="H69" s="234">
        <v>0</v>
      </c>
      <c r="I69" s="235">
        <v>0</v>
      </c>
      <c r="J69" s="104">
        <f t="shared" ref="J69:J70" si="103">SUM(B69:I69)</f>
        <v>0</v>
      </c>
      <c r="K69" s="151"/>
      <c r="L69" s="30"/>
      <c r="M69" s="174" t="s">
        <v>253</v>
      </c>
      <c r="N69" s="226">
        <f t="shared" ref="N69:N70" si="104">B69</f>
        <v>0</v>
      </c>
      <c r="O69" s="227">
        <f t="shared" ref="O69:O70" si="105">C69</f>
        <v>0</v>
      </c>
      <c r="P69" s="227">
        <f t="shared" ref="P69:P70" si="106">D69</f>
        <v>0</v>
      </c>
      <c r="Q69" s="227">
        <f t="shared" ref="Q69:Q70" si="107">E69</f>
        <v>0</v>
      </c>
      <c r="R69" s="227">
        <f t="shared" ref="R69:R70" si="108">F69</f>
        <v>0</v>
      </c>
      <c r="S69" s="227">
        <f t="shared" ref="S69:S70" si="109">G69</f>
        <v>0</v>
      </c>
      <c r="T69" s="227">
        <f t="shared" ref="T69:T70" si="110">H69</f>
        <v>0</v>
      </c>
      <c r="U69" s="228">
        <f t="shared" ref="U69:U70" si="111">I69</f>
        <v>0</v>
      </c>
      <c r="V69" s="172">
        <f t="shared" ref="V69:V70" si="112">SUM(N69:U69)</f>
        <v>0</v>
      </c>
      <c r="W69" s="175"/>
    </row>
    <row r="70" spans="1:23" ht="15" x14ac:dyDescent="0.25">
      <c r="A70" s="51" t="s">
        <v>125</v>
      </c>
      <c r="B70" s="232">
        <v>0</v>
      </c>
      <c r="C70" s="233">
        <v>0</v>
      </c>
      <c r="D70" s="234">
        <v>0</v>
      </c>
      <c r="E70" s="234">
        <v>0</v>
      </c>
      <c r="F70" s="234">
        <v>0</v>
      </c>
      <c r="G70" s="234">
        <v>0</v>
      </c>
      <c r="H70" s="234">
        <v>0</v>
      </c>
      <c r="I70" s="235">
        <v>0</v>
      </c>
      <c r="J70" s="104">
        <f t="shared" si="103"/>
        <v>0</v>
      </c>
      <c r="K70" s="151"/>
      <c r="L70" s="30"/>
      <c r="M70" s="174" t="s">
        <v>125</v>
      </c>
      <c r="N70" s="226">
        <f t="shared" si="104"/>
        <v>0</v>
      </c>
      <c r="O70" s="227">
        <f t="shared" si="105"/>
        <v>0</v>
      </c>
      <c r="P70" s="227">
        <f t="shared" si="106"/>
        <v>0</v>
      </c>
      <c r="Q70" s="227">
        <f t="shared" si="107"/>
        <v>0</v>
      </c>
      <c r="R70" s="227">
        <f t="shared" si="108"/>
        <v>0</v>
      </c>
      <c r="S70" s="227">
        <f t="shared" si="109"/>
        <v>0</v>
      </c>
      <c r="T70" s="227">
        <f t="shared" si="110"/>
        <v>0</v>
      </c>
      <c r="U70" s="228">
        <f t="shared" si="111"/>
        <v>0</v>
      </c>
      <c r="V70" s="172">
        <f t="shared" si="112"/>
        <v>0</v>
      </c>
      <c r="W70" s="175"/>
    </row>
    <row r="71" spans="1:23" x14ac:dyDescent="0.2">
      <c r="A71" s="51"/>
      <c r="B71" s="71"/>
      <c r="C71" s="134"/>
      <c r="D71" s="52"/>
      <c r="E71" s="52"/>
      <c r="F71" s="52"/>
      <c r="G71" s="52"/>
      <c r="H71" s="52"/>
      <c r="I71" s="72"/>
      <c r="J71" s="104"/>
      <c r="K71" s="151"/>
      <c r="L71" s="30"/>
      <c r="M71" s="174"/>
      <c r="N71" s="176"/>
      <c r="O71" s="178"/>
      <c r="P71" s="177"/>
      <c r="Q71" s="177"/>
      <c r="R71" s="177"/>
      <c r="S71" s="177"/>
      <c r="T71" s="177"/>
      <c r="U71" s="189"/>
      <c r="V71" s="172"/>
      <c r="W71" s="175"/>
    </row>
    <row r="72" spans="1:23" ht="13.5" thickBot="1" x14ac:dyDescent="0.25">
      <c r="A72" s="53" t="s">
        <v>150</v>
      </c>
      <c r="B72" s="76">
        <f>SUM(B69:B70)</f>
        <v>0</v>
      </c>
      <c r="C72" s="135">
        <f t="shared" ref="C72:H72" si="113">SUM(C69:C70)</f>
        <v>0</v>
      </c>
      <c r="D72" s="77">
        <f t="shared" si="113"/>
        <v>0</v>
      </c>
      <c r="E72" s="77">
        <f t="shared" si="113"/>
        <v>0</v>
      </c>
      <c r="F72" s="77">
        <f t="shared" si="113"/>
        <v>0</v>
      </c>
      <c r="G72" s="77">
        <f t="shared" si="113"/>
        <v>0</v>
      </c>
      <c r="H72" s="77">
        <f t="shared" si="113"/>
        <v>0</v>
      </c>
      <c r="I72" s="78">
        <f>SUM(I69:I70)</f>
        <v>0</v>
      </c>
      <c r="J72" s="105">
        <f>SUM(J69:J70)</f>
        <v>0</v>
      </c>
      <c r="K72" s="152">
        <f>J72/(J$108+J$110)</f>
        <v>0</v>
      </c>
      <c r="L72" s="30"/>
      <c r="M72" s="180" t="s">
        <v>150</v>
      </c>
      <c r="N72" s="181">
        <f>SUM(N69:N70)</f>
        <v>0</v>
      </c>
      <c r="O72" s="183">
        <f t="shared" ref="O72:T72" si="114">SUM(O69:O70)</f>
        <v>0</v>
      </c>
      <c r="P72" s="182">
        <f t="shared" si="114"/>
        <v>0</v>
      </c>
      <c r="Q72" s="182">
        <f t="shared" si="114"/>
        <v>0</v>
      </c>
      <c r="R72" s="182">
        <f t="shared" si="114"/>
        <v>0</v>
      </c>
      <c r="S72" s="182">
        <f t="shared" si="114"/>
        <v>0</v>
      </c>
      <c r="T72" s="182">
        <f t="shared" si="114"/>
        <v>0</v>
      </c>
      <c r="U72" s="190">
        <f>SUM(U69:U70)</f>
        <v>0</v>
      </c>
      <c r="V72" s="185">
        <f>SUM(V69:V70)</f>
        <v>0</v>
      </c>
      <c r="W72" s="186">
        <f>V72/(V$108+V$110)</f>
        <v>0</v>
      </c>
    </row>
    <row r="73" spans="1:23" x14ac:dyDescent="0.2">
      <c r="A73" s="51"/>
      <c r="B73" s="71"/>
      <c r="C73" s="134"/>
      <c r="D73" s="52"/>
      <c r="E73" s="52"/>
      <c r="F73" s="52"/>
      <c r="G73" s="52"/>
      <c r="H73" s="52"/>
      <c r="I73" s="72"/>
      <c r="J73" s="104"/>
      <c r="K73" s="151"/>
      <c r="L73" s="30"/>
      <c r="M73" s="174"/>
      <c r="N73" s="176"/>
      <c r="O73" s="178"/>
      <c r="P73" s="177"/>
      <c r="Q73" s="177"/>
      <c r="R73" s="177"/>
      <c r="S73" s="177"/>
      <c r="T73" s="177"/>
      <c r="U73" s="189"/>
      <c r="V73" s="172"/>
      <c r="W73" s="175"/>
    </row>
    <row r="74" spans="1:23" x14ac:dyDescent="0.2">
      <c r="A74" s="53" t="s">
        <v>104</v>
      </c>
      <c r="B74" s="71"/>
      <c r="C74" s="134"/>
      <c r="D74" s="52"/>
      <c r="E74" s="52"/>
      <c r="F74" s="52"/>
      <c r="G74" s="52"/>
      <c r="H74" s="52"/>
      <c r="I74" s="72"/>
      <c r="J74" s="104"/>
      <c r="K74" s="151"/>
      <c r="L74" s="30"/>
      <c r="M74" s="180" t="s">
        <v>104</v>
      </c>
      <c r="N74" s="176"/>
      <c r="O74" s="178"/>
      <c r="P74" s="177"/>
      <c r="Q74" s="177"/>
      <c r="R74" s="177"/>
      <c r="S74" s="177"/>
      <c r="T74" s="177"/>
      <c r="U74" s="189"/>
      <c r="V74" s="172"/>
      <c r="W74" s="175"/>
    </row>
    <row r="75" spans="1:23" ht="15" x14ac:dyDescent="0.25">
      <c r="A75" s="51" t="s">
        <v>126</v>
      </c>
      <c r="B75" s="232">
        <v>0</v>
      </c>
      <c r="C75" s="233">
        <v>0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5">
        <v>0</v>
      </c>
      <c r="J75" s="104">
        <f>SUM(B75:I75)</f>
        <v>0</v>
      </c>
      <c r="K75" s="151"/>
      <c r="L75" s="30"/>
      <c r="M75" s="174" t="s">
        <v>126</v>
      </c>
      <c r="N75" s="226">
        <f>B75</f>
        <v>0</v>
      </c>
      <c r="O75" s="227">
        <f>C75</f>
        <v>0</v>
      </c>
      <c r="P75" s="227">
        <f t="shared" ref="P75" si="115">D75</f>
        <v>0</v>
      </c>
      <c r="Q75" s="227">
        <f t="shared" ref="Q75" si="116">E75</f>
        <v>0</v>
      </c>
      <c r="R75" s="227">
        <f t="shared" ref="R75" si="117">F75</f>
        <v>0</v>
      </c>
      <c r="S75" s="227">
        <f t="shared" ref="S75" si="118">G75</f>
        <v>0</v>
      </c>
      <c r="T75" s="227">
        <f t="shared" ref="T75" si="119">H75</f>
        <v>0</v>
      </c>
      <c r="U75" s="228">
        <f>I75</f>
        <v>0</v>
      </c>
      <c r="V75" s="172">
        <f>SUM(N75:U75)</f>
        <v>0</v>
      </c>
      <c r="W75" s="175"/>
    </row>
    <row r="76" spans="1:23" x14ac:dyDescent="0.2">
      <c r="A76" s="51"/>
      <c r="B76" s="71"/>
      <c r="C76" s="134"/>
      <c r="D76" s="52"/>
      <c r="E76" s="52"/>
      <c r="F76" s="52"/>
      <c r="G76" s="52"/>
      <c r="H76" s="52"/>
      <c r="I76" s="72"/>
      <c r="J76" s="104"/>
      <c r="K76" s="151"/>
      <c r="L76" s="30"/>
      <c r="M76" s="174"/>
      <c r="N76" s="176"/>
      <c r="O76" s="178"/>
      <c r="P76" s="177"/>
      <c r="Q76" s="177"/>
      <c r="R76" s="177"/>
      <c r="S76" s="177"/>
      <c r="T76" s="177"/>
      <c r="U76" s="189"/>
      <c r="V76" s="172"/>
      <c r="W76" s="175"/>
    </row>
    <row r="77" spans="1:23" ht="13.5" thickBot="1" x14ac:dyDescent="0.25">
      <c r="A77" s="53" t="s">
        <v>151</v>
      </c>
      <c r="B77" s="76">
        <f>SUM(B74:B76)</f>
        <v>0</v>
      </c>
      <c r="C77" s="135">
        <f t="shared" ref="C77:H77" si="120">SUM(C74:C76)</f>
        <v>0</v>
      </c>
      <c r="D77" s="77">
        <f t="shared" si="120"/>
        <v>0</v>
      </c>
      <c r="E77" s="77">
        <f t="shared" si="120"/>
        <v>0</v>
      </c>
      <c r="F77" s="77">
        <f t="shared" si="120"/>
        <v>0</v>
      </c>
      <c r="G77" s="77">
        <f t="shared" si="120"/>
        <v>0</v>
      </c>
      <c r="H77" s="77">
        <f t="shared" si="120"/>
        <v>0</v>
      </c>
      <c r="I77" s="78">
        <f>SUM(I74:I76)</f>
        <v>0</v>
      </c>
      <c r="J77" s="105">
        <f>SUM(J74:J76)</f>
        <v>0</v>
      </c>
      <c r="K77" s="152">
        <f>J77/(J$108+J$110)</f>
        <v>0</v>
      </c>
      <c r="L77" s="30"/>
      <c r="M77" s="180" t="s">
        <v>151</v>
      </c>
      <c r="N77" s="181">
        <f>SUM(N74:N76)</f>
        <v>0</v>
      </c>
      <c r="O77" s="183">
        <f t="shared" ref="O77:T77" si="121">SUM(O74:O76)</f>
        <v>0</v>
      </c>
      <c r="P77" s="182">
        <f t="shared" si="121"/>
        <v>0</v>
      </c>
      <c r="Q77" s="182">
        <f t="shared" si="121"/>
        <v>0</v>
      </c>
      <c r="R77" s="182">
        <f t="shared" si="121"/>
        <v>0</v>
      </c>
      <c r="S77" s="182">
        <f t="shared" si="121"/>
        <v>0</v>
      </c>
      <c r="T77" s="182">
        <f t="shared" si="121"/>
        <v>0</v>
      </c>
      <c r="U77" s="190">
        <f>SUM(U74:U76)</f>
        <v>0</v>
      </c>
      <c r="V77" s="185">
        <f>SUM(V74:V76)</f>
        <v>0</v>
      </c>
      <c r="W77" s="186">
        <f>V77/(V$108+V$110)</f>
        <v>0</v>
      </c>
    </row>
    <row r="78" spans="1:23" x14ac:dyDescent="0.2">
      <c r="A78" s="51"/>
      <c r="B78" s="71"/>
      <c r="C78" s="134"/>
      <c r="D78" s="52"/>
      <c r="E78" s="52"/>
      <c r="F78" s="52"/>
      <c r="G78" s="52"/>
      <c r="H78" s="52"/>
      <c r="I78" s="72"/>
      <c r="J78" s="104"/>
      <c r="K78" s="151"/>
      <c r="L78" s="30"/>
      <c r="M78" s="174"/>
      <c r="N78" s="176"/>
      <c r="O78" s="178"/>
      <c r="P78" s="177"/>
      <c r="Q78" s="177"/>
      <c r="R78" s="177"/>
      <c r="S78" s="177"/>
      <c r="T78" s="177"/>
      <c r="U78" s="189"/>
      <c r="V78" s="172"/>
      <c r="W78" s="175"/>
    </row>
    <row r="79" spans="1:23" x14ac:dyDescent="0.2">
      <c r="A79" s="53" t="s">
        <v>105</v>
      </c>
      <c r="B79" s="71"/>
      <c r="C79" s="134"/>
      <c r="D79" s="52"/>
      <c r="E79" s="52"/>
      <c r="F79" s="52"/>
      <c r="G79" s="52"/>
      <c r="H79" s="52"/>
      <c r="I79" s="72"/>
      <c r="J79" s="104"/>
      <c r="K79" s="151"/>
      <c r="L79" s="30"/>
      <c r="M79" s="180" t="s">
        <v>105</v>
      </c>
      <c r="N79" s="176"/>
      <c r="O79" s="178"/>
      <c r="P79" s="177"/>
      <c r="Q79" s="177"/>
      <c r="R79" s="177"/>
      <c r="S79" s="177"/>
      <c r="T79" s="177"/>
      <c r="U79" s="189"/>
      <c r="V79" s="172"/>
      <c r="W79" s="175"/>
    </row>
    <row r="80" spans="1:23" ht="15" x14ac:dyDescent="0.25">
      <c r="A80" s="51" t="s">
        <v>127</v>
      </c>
      <c r="B80" s="232">
        <v>0</v>
      </c>
      <c r="C80" s="233">
        <v>0</v>
      </c>
      <c r="D80" s="234">
        <v>0</v>
      </c>
      <c r="E80" s="234">
        <v>0</v>
      </c>
      <c r="F80" s="234">
        <v>0</v>
      </c>
      <c r="G80" s="234">
        <v>0</v>
      </c>
      <c r="H80" s="234">
        <v>0</v>
      </c>
      <c r="I80" s="235">
        <v>0</v>
      </c>
      <c r="J80" s="104">
        <f t="shared" ref="J80:J82" si="122">SUM(B80:I80)</f>
        <v>0</v>
      </c>
      <c r="K80" s="151"/>
      <c r="L80" s="30"/>
      <c r="M80" s="174" t="s">
        <v>127</v>
      </c>
      <c r="N80" s="226">
        <f t="shared" ref="N80:N82" si="123">B80</f>
        <v>0</v>
      </c>
      <c r="O80" s="227">
        <f t="shared" ref="O80:O82" si="124">C80</f>
        <v>0</v>
      </c>
      <c r="P80" s="227">
        <f t="shared" ref="P80:P82" si="125">D80</f>
        <v>0</v>
      </c>
      <c r="Q80" s="227">
        <f t="shared" ref="Q80:Q82" si="126">E80</f>
        <v>0</v>
      </c>
      <c r="R80" s="227">
        <f t="shared" ref="R80:R82" si="127">F80</f>
        <v>0</v>
      </c>
      <c r="S80" s="227">
        <f t="shared" ref="S80:S82" si="128">G80</f>
        <v>0</v>
      </c>
      <c r="T80" s="227">
        <f t="shared" ref="T80:T82" si="129">H80</f>
        <v>0</v>
      </c>
      <c r="U80" s="228">
        <f t="shared" ref="U80:U82" si="130">I80</f>
        <v>0</v>
      </c>
      <c r="V80" s="172">
        <f t="shared" ref="V80:V82" si="131">SUM(N80:U80)</f>
        <v>0</v>
      </c>
      <c r="W80" s="175"/>
    </row>
    <row r="81" spans="1:23" ht="15" x14ac:dyDescent="0.25">
      <c r="A81" s="51" t="s">
        <v>128</v>
      </c>
      <c r="B81" s="71">
        <f>ROUND('2. Projected Funding'!C9*'Expenditure Base Data'!K70,0)</f>
        <v>-6508</v>
      </c>
      <c r="C81" s="134">
        <f>ROUND('2. Projected Funding'!D9*'Expenditure Base Data'!$K$70,0)</f>
        <v>-8720</v>
      </c>
      <c r="D81" s="52">
        <f>ROUND('2. Projected Funding'!E9*'Expenditure Base Data'!$K$70,0)</f>
        <v>-8460</v>
      </c>
      <c r="E81" s="52">
        <f>ROUND('2. Projected Funding'!F9*'Expenditure Base Data'!$K$70,0)</f>
        <v>-4295</v>
      </c>
      <c r="F81" s="52">
        <f>ROUND('2. Projected Funding'!G9*'Expenditure Base Data'!$K$70,0)</f>
        <v>-10673</v>
      </c>
      <c r="G81" s="52">
        <f>ROUND('2. Projected Funding'!H9*'Expenditure Base Data'!$K$70,0)</f>
        <v>-13146</v>
      </c>
      <c r="H81" s="52">
        <f>ROUND('2. Projected Funding'!I9*'Expenditure Base Data'!$K$70,0)</f>
        <v>-13536</v>
      </c>
      <c r="I81" s="72">
        <f>ROUND('2. Projected Funding'!J9*'Expenditure Base Data'!$K$70,0)</f>
        <v>-14317</v>
      </c>
      <c r="J81" s="104">
        <f t="shared" si="122"/>
        <v>-79655</v>
      </c>
      <c r="K81" s="151"/>
      <c r="L81" s="30"/>
      <c r="M81" s="174" t="s">
        <v>128</v>
      </c>
      <c r="N81" s="229">
        <f t="shared" si="123"/>
        <v>-6508</v>
      </c>
      <c r="O81" s="230">
        <f t="shared" si="124"/>
        <v>-8720</v>
      </c>
      <c r="P81" s="230">
        <f t="shared" si="125"/>
        <v>-8460</v>
      </c>
      <c r="Q81" s="230">
        <f t="shared" si="126"/>
        <v>-4295</v>
      </c>
      <c r="R81" s="230">
        <f t="shared" si="127"/>
        <v>-10673</v>
      </c>
      <c r="S81" s="230">
        <f t="shared" si="128"/>
        <v>-13146</v>
      </c>
      <c r="T81" s="230">
        <f t="shared" si="129"/>
        <v>-13536</v>
      </c>
      <c r="U81" s="231">
        <f t="shared" si="130"/>
        <v>-14317</v>
      </c>
      <c r="V81" s="172">
        <f t="shared" si="131"/>
        <v>-79655</v>
      </c>
      <c r="W81" s="175"/>
    </row>
    <row r="82" spans="1:23" ht="15" x14ac:dyDescent="0.25">
      <c r="A82" s="51" t="s">
        <v>152</v>
      </c>
      <c r="B82" s="71">
        <f>-B54</f>
        <v>-8214</v>
      </c>
      <c r="C82" s="134">
        <f>-C54</f>
        <v>-8287</v>
      </c>
      <c r="D82" s="52">
        <f t="shared" ref="D82:H82" si="132">-D54</f>
        <v>-8279</v>
      </c>
      <c r="E82" s="52">
        <f t="shared" si="132"/>
        <v>-8141</v>
      </c>
      <c r="F82" s="52">
        <f t="shared" si="132"/>
        <v>-8351</v>
      </c>
      <c r="G82" s="52">
        <f t="shared" si="132"/>
        <v>-8433</v>
      </c>
      <c r="H82" s="52">
        <f t="shared" si="132"/>
        <v>-8446</v>
      </c>
      <c r="I82" s="72">
        <f>-I54</f>
        <v>-8471</v>
      </c>
      <c r="J82" s="104">
        <f t="shared" si="122"/>
        <v>-66622</v>
      </c>
      <c r="K82" s="151"/>
      <c r="L82" s="30"/>
      <c r="M82" s="174" t="s">
        <v>152</v>
      </c>
      <c r="N82" s="229">
        <f t="shared" si="123"/>
        <v>-8214</v>
      </c>
      <c r="O82" s="230">
        <f t="shared" si="124"/>
        <v>-8287</v>
      </c>
      <c r="P82" s="230">
        <f t="shared" si="125"/>
        <v>-8279</v>
      </c>
      <c r="Q82" s="230">
        <f t="shared" si="126"/>
        <v>-8141</v>
      </c>
      <c r="R82" s="230">
        <f t="shared" si="127"/>
        <v>-8351</v>
      </c>
      <c r="S82" s="230">
        <f t="shared" si="128"/>
        <v>-8433</v>
      </c>
      <c r="T82" s="230">
        <f t="shared" si="129"/>
        <v>-8446</v>
      </c>
      <c r="U82" s="231">
        <f t="shared" si="130"/>
        <v>-8471</v>
      </c>
      <c r="V82" s="172">
        <f t="shared" si="131"/>
        <v>-66622</v>
      </c>
      <c r="W82" s="175"/>
    </row>
    <row r="83" spans="1:23" x14ac:dyDescent="0.2">
      <c r="A83" s="51"/>
      <c r="B83" s="71"/>
      <c r="C83" s="134"/>
      <c r="D83" s="52"/>
      <c r="E83" s="52"/>
      <c r="F83" s="52"/>
      <c r="G83" s="52"/>
      <c r="H83" s="52"/>
      <c r="I83" s="72"/>
      <c r="J83" s="104"/>
      <c r="K83" s="151"/>
      <c r="L83" s="30"/>
      <c r="M83" s="174"/>
      <c r="N83" s="176"/>
      <c r="O83" s="178"/>
      <c r="P83" s="177"/>
      <c r="Q83" s="177"/>
      <c r="R83" s="177"/>
      <c r="S83" s="177"/>
      <c r="T83" s="177"/>
      <c r="U83" s="189"/>
      <c r="V83" s="172"/>
      <c r="W83" s="175"/>
    </row>
    <row r="84" spans="1:23" ht="13.5" thickBot="1" x14ac:dyDescent="0.25">
      <c r="A84" s="53" t="s">
        <v>153</v>
      </c>
      <c r="B84" s="76">
        <f>SUM(B80:B82)</f>
        <v>-14722</v>
      </c>
      <c r="C84" s="135">
        <f t="shared" ref="C84:H84" si="133">SUM(C80:C82)</f>
        <v>-17007</v>
      </c>
      <c r="D84" s="77">
        <f t="shared" si="133"/>
        <v>-16739</v>
      </c>
      <c r="E84" s="77">
        <f t="shared" si="133"/>
        <v>-12436</v>
      </c>
      <c r="F84" s="77">
        <f t="shared" si="133"/>
        <v>-19024</v>
      </c>
      <c r="G84" s="77">
        <f t="shared" si="133"/>
        <v>-21579</v>
      </c>
      <c r="H84" s="77">
        <f t="shared" si="133"/>
        <v>-21982</v>
      </c>
      <c r="I84" s="78">
        <f>SUM(I80:I82)</f>
        <v>-22788</v>
      </c>
      <c r="J84" s="105">
        <f>SUM(J80:J82)</f>
        <v>-146277</v>
      </c>
      <c r="K84" s="152">
        <f>J84/(J$108+J$110)</f>
        <v>-4.3028491340382641E-2</v>
      </c>
      <c r="L84" s="30"/>
      <c r="M84" s="180" t="s">
        <v>153</v>
      </c>
      <c r="N84" s="181">
        <f>SUM(N80:N82)</f>
        <v>-14722</v>
      </c>
      <c r="O84" s="183">
        <f t="shared" ref="O84:T84" si="134">SUM(O80:O82)</f>
        <v>-17007</v>
      </c>
      <c r="P84" s="182">
        <f t="shared" si="134"/>
        <v>-16739</v>
      </c>
      <c r="Q84" s="182">
        <f t="shared" si="134"/>
        <v>-12436</v>
      </c>
      <c r="R84" s="182">
        <f t="shared" si="134"/>
        <v>-19024</v>
      </c>
      <c r="S84" s="182">
        <f t="shared" si="134"/>
        <v>-21579</v>
      </c>
      <c r="T84" s="182">
        <f t="shared" si="134"/>
        <v>-21982</v>
      </c>
      <c r="U84" s="190">
        <f>SUM(U80:U82)</f>
        <v>-22788</v>
      </c>
      <c r="V84" s="185">
        <f>SUM(V80:V82)</f>
        <v>-146277</v>
      </c>
      <c r="W84" s="186">
        <f>V84/(V$108+V$110)</f>
        <v>-4.3028491340382641E-2</v>
      </c>
    </row>
    <row r="85" spans="1:23" x14ac:dyDescent="0.2">
      <c r="A85" s="51"/>
      <c r="B85" s="71"/>
      <c r="C85" s="55"/>
      <c r="D85" s="52"/>
      <c r="E85" s="49"/>
      <c r="F85" s="49"/>
      <c r="G85" s="49"/>
      <c r="H85" s="49"/>
      <c r="I85" s="70"/>
      <c r="J85" s="104"/>
      <c r="K85" s="151"/>
      <c r="L85" s="30"/>
      <c r="M85" s="174"/>
      <c r="N85" s="176"/>
      <c r="O85" s="191"/>
      <c r="P85" s="177"/>
      <c r="Q85" s="192"/>
      <c r="R85" s="192"/>
      <c r="S85" s="192"/>
      <c r="T85" s="192"/>
      <c r="U85" s="193"/>
      <c r="V85" s="172"/>
      <c r="W85" s="175"/>
    </row>
    <row r="86" spans="1:23" ht="13.5" thickBot="1" x14ac:dyDescent="0.25">
      <c r="A86" s="53" t="s">
        <v>110</v>
      </c>
      <c r="B86" s="79">
        <f>B84+B77+B72+B66+B58+B50+B41+B35+B29+B23+B16</f>
        <v>414208.80000000005</v>
      </c>
      <c r="C86" s="80">
        <f t="shared" ref="C86:I86" si="135">C84+C77+C72+C66+C58+C50+C41+C35+C29+C23+C16</f>
        <v>412228.4</v>
      </c>
      <c r="D86" s="80">
        <f t="shared" si="135"/>
        <v>372820.75</v>
      </c>
      <c r="E86" s="80">
        <f t="shared" si="135"/>
        <v>253611.75</v>
      </c>
      <c r="F86" s="80">
        <f t="shared" si="135"/>
        <v>401592</v>
      </c>
      <c r="G86" s="80">
        <f t="shared" si="135"/>
        <v>625922.19999999995</v>
      </c>
      <c r="H86" s="80">
        <f t="shared" si="135"/>
        <v>600525.55000000005</v>
      </c>
      <c r="I86" s="81">
        <f t="shared" si="135"/>
        <v>513536.75</v>
      </c>
      <c r="J86" s="106">
        <f t="shared" ref="J86:K86" si="136">J84+J77+J72+J66+J58+J50+J41+J35+J29+J23+J16</f>
        <v>3594446.2</v>
      </c>
      <c r="K86" s="154">
        <f t="shared" si="136"/>
        <v>1.0045217906361517</v>
      </c>
      <c r="L86" s="30"/>
      <c r="M86" s="180" t="s">
        <v>110</v>
      </c>
      <c r="N86" s="194">
        <f>N84+N77+N72+N66+N58+N50+N41+N35+N29+N23+N16</f>
        <v>414208.80000000005</v>
      </c>
      <c r="O86" s="195">
        <f t="shared" ref="O86:W86" si="137">O84+O77+O72+O66+O58+O50+O41+O35+O29+O23+O16</f>
        <v>412228.4</v>
      </c>
      <c r="P86" s="195">
        <f t="shared" si="137"/>
        <v>372820.75</v>
      </c>
      <c r="Q86" s="195">
        <f t="shared" si="137"/>
        <v>253611.75</v>
      </c>
      <c r="R86" s="195">
        <f t="shared" si="137"/>
        <v>401592</v>
      </c>
      <c r="S86" s="195">
        <f t="shared" si="137"/>
        <v>625922.19999999995</v>
      </c>
      <c r="T86" s="195">
        <f t="shared" si="137"/>
        <v>600525.55000000005</v>
      </c>
      <c r="U86" s="196">
        <f t="shared" si="137"/>
        <v>513536.75</v>
      </c>
      <c r="V86" s="197">
        <f t="shared" si="137"/>
        <v>3594446.2</v>
      </c>
      <c r="W86" s="198">
        <f t="shared" si="137"/>
        <v>1.0045217906361517</v>
      </c>
    </row>
    <row r="87" spans="1:23" x14ac:dyDescent="0.2">
      <c r="A87" s="51"/>
      <c r="B87" s="71"/>
      <c r="C87" s="55"/>
      <c r="D87" s="52"/>
      <c r="E87" s="49"/>
      <c r="F87" s="49"/>
      <c r="G87" s="49"/>
      <c r="H87" s="49"/>
      <c r="I87" s="70"/>
      <c r="J87" s="104"/>
      <c r="K87" s="151"/>
      <c r="L87" s="30"/>
      <c r="M87" s="174"/>
      <c r="N87" s="176"/>
      <c r="O87" s="191"/>
      <c r="P87" s="177"/>
      <c r="Q87" s="192"/>
      <c r="R87" s="192"/>
      <c r="S87" s="192"/>
      <c r="T87" s="192"/>
      <c r="U87" s="193"/>
      <c r="V87" s="172"/>
      <c r="W87" s="175"/>
    </row>
    <row r="88" spans="1:23" x14ac:dyDescent="0.2">
      <c r="A88" s="51"/>
      <c r="B88" s="71"/>
      <c r="C88" s="55"/>
      <c r="D88" s="52"/>
      <c r="E88" s="49"/>
      <c r="F88" s="49"/>
      <c r="G88" s="49"/>
      <c r="H88" s="49"/>
      <c r="I88" s="70"/>
      <c r="J88" s="104"/>
      <c r="K88" s="151"/>
      <c r="L88" s="30"/>
      <c r="M88" s="174"/>
      <c r="N88" s="176"/>
      <c r="O88" s="191"/>
      <c r="P88" s="177"/>
      <c r="Q88" s="192"/>
      <c r="R88" s="192"/>
      <c r="S88" s="192"/>
      <c r="T88" s="192"/>
      <c r="U88" s="193"/>
      <c r="V88" s="172"/>
      <c r="W88" s="175"/>
    </row>
    <row r="89" spans="1:23" x14ac:dyDescent="0.2">
      <c r="A89" s="56" t="s">
        <v>97</v>
      </c>
      <c r="B89" s="71">
        <f>B16</f>
        <v>301098.52</v>
      </c>
      <c r="C89" s="52">
        <f t="shared" ref="C89:I89" si="138">C16</f>
        <v>296354.26</v>
      </c>
      <c r="D89" s="52">
        <f t="shared" si="138"/>
        <v>248166</v>
      </c>
      <c r="E89" s="52">
        <f t="shared" si="138"/>
        <v>174996</v>
      </c>
      <c r="F89" s="52">
        <f t="shared" si="138"/>
        <v>287038</v>
      </c>
      <c r="G89" s="52">
        <f t="shared" si="138"/>
        <v>461328.78</v>
      </c>
      <c r="H89" s="52">
        <f t="shared" si="138"/>
        <v>424573.52</v>
      </c>
      <c r="I89" s="72">
        <f t="shared" si="138"/>
        <v>351062</v>
      </c>
      <c r="J89" s="104">
        <f t="shared" ref="J89:J98" si="139">SUM(B89:I89)</f>
        <v>2544617.08</v>
      </c>
      <c r="K89" s="155">
        <f t="shared" ref="K89" si="140">K16</f>
        <v>0.74851845465363498</v>
      </c>
      <c r="L89" s="30"/>
      <c r="M89" s="199" t="s">
        <v>97</v>
      </c>
      <c r="N89" s="176">
        <f>N16</f>
        <v>301098.52</v>
      </c>
      <c r="O89" s="177">
        <f t="shared" ref="O89:U89" si="141">O16</f>
        <v>296354.26</v>
      </c>
      <c r="P89" s="177">
        <f t="shared" si="141"/>
        <v>248166</v>
      </c>
      <c r="Q89" s="177">
        <f t="shared" si="141"/>
        <v>174996</v>
      </c>
      <c r="R89" s="177">
        <f t="shared" si="141"/>
        <v>287038</v>
      </c>
      <c r="S89" s="177">
        <f t="shared" si="141"/>
        <v>461328.78</v>
      </c>
      <c r="T89" s="177">
        <f t="shared" si="141"/>
        <v>424573.52</v>
      </c>
      <c r="U89" s="189">
        <f t="shared" si="141"/>
        <v>351062</v>
      </c>
      <c r="V89" s="172">
        <f t="shared" ref="V89:V98" si="142">SUM(N89:U89)</f>
        <v>2544617.08</v>
      </c>
      <c r="W89" s="200">
        <f t="shared" ref="W89" si="143">W16</f>
        <v>0.74851845465363498</v>
      </c>
    </row>
    <row r="90" spans="1:23" x14ac:dyDescent="0.2">
      <c r="A90" s="56" t="s">
        <v>106</v>
      </c>
      <c r="B90" s="71">
        <f>B23</f>
        <v>8646</v>
      </c>
      <c r="C90" s="52">
        <f t="shared" ref="C90:I90" si="144">C23</f>
        <v>11211</v>
      </c>
      <c r="D90" s="52">
        <f t="shared" si="144"/>
        <v>10909</v>
      </c>
      <c r="E90" s="52">
        <f t="shared" si="144"/>
        <v>6080</v>
      </c>
      <c r="F90" s="52">
        <f t="shared" si="144"/>
        <v>13475</v>
      </c>
      <c r="G90" s="52">
        <f t="shared" si="144"/>
        <v>16342</v>
      </c>
      <c r="H90" s="52">
        <f t="shared" si="144"/>
        <v>16795</v>
      </c>
      <c r="I90" s="72">
        <f t="shared" si="144"/>
        <v>17700</v>
      </c>
      <c r="J90" s="104">
        <f t="shared" si="139"/>
        <v>101158</v>
      </c>
      <c r="K90" s="155">
        <f t="shared" ref="K90" si="145">K23</f>
        <v>2.9756394559708136E-2</v>
      </c>
      <c r="L90" s="30"/>
      <c r="M90" s="199" t="s">
        <v>106</v>
      </c>
      <c r="N90" s="176">
        <f>N23</f>
        <v>8646</v>
      </c>
      <c r="O90" s="177">
        <f t="shared" ref="O90:U90" si="146">O23</f>
        <v>11211</v>
      </c>
      <c r="P90" s="177">
        <f t="shared" si="146"/>
        <v>10909</v>
      </c>
      <c r="Q90" s="177">
        <f t="shared" si="146"/>
        <v>6080</v>
      </c>
      <c r="R90" s="177">
        <f t="shared" si="146"/>
        <v>13475</v>
      </c>
      <c r="S90" s="177">
        <f t="shared" si="146"/>
        <v>16342</v>
      </c>
      <c r="T90" s="177">
        <f t="shared" si="146"/>
        <v>16795</v>
      </c>
      <c r="U90" s="189">
        <f t="shared" si="146"/>
        <v>17700</v>
      </c>
      <c r="V90" s="172">
        <f t="shared" si="142"/>
        <v>101158</v>
      </c>
      <c r="W90" s="200">
        <f t="shared" ref="W90" si="147">W23</f>
        <v>2.9756394559708136E-2</v>
      </c>
    </row>
    <row r="91" spans="1:23" x14ac:dyDescent="0.2">
      <c r="A91" s="57" t="s">
        <v>17</v>
      </c>
      <c r="B91" s="71">
        <f>B29</f>
        <v>27720</v>
      </c>
      <c r="C91" s="52">
        <f t="shared" ref="C91:I91" si="148">C29</f>
        <v>18480</v>
      </c>
      <c r="D91" s="52">
        <f t="shared" si="148"/>
        <v>27720</v>
      </c>
      <c r="E91" s="52">
        <f t="shared" si="148"/>
        <v>15840</v>
      </c>
      <c r="F91" s="52">
        <f t="shared" si="148"/>
        <v>0</v>
      </c>
      <c r="G91" s="52">
        <f t="shared" si="148"/>
        <v>18480</v>
      </c>
      <c r="H91" s="52">
        <f t="shared" si="148"/>
        <v>27720</v>
      </c>
      <c r="I91" s="72">
        <f t="shared" si="148"/>
        <v>15840</v>
      </c>
      <c r="J91" s="104">
        <f t="shared" si="139"/>
        <v>151800</v>
      </c>
      <c r="K91" s="155">
        <f t="shared" ref="K91" si="149">K29</f>
        <v>0</v>
      </c>
      <c r="L91" s="30"/>
      <c r="M91" s="201" t="s">
        <v>17</v>
      </c>
      <c r="N91" s="176">
        <f>N29</f>
        <v>27720</v>
      </c>
      <c r="O91" s="177">
        <f t="shared" ref="O91:U91" si="150">O29</f>
        <v>18480</v>
      </c>
      <c r="P91" s="177">
        <f t="shared" si="150"/>
        <v>27720</v>
      </c>
      <c r="Q91" s="177">
        <f t="shared" si="150"/>
        <v>15840</v>
      </c>
      <c r="R91" s="177">
        <f t="shared" si="150"/>
        <v>0</v>
      </c>
      <c r="S91" s="177">
        <f t="shared" si="150"/>
        <v>18480</v>
      </c>
      <c r="T91" s="177">
        <f t="shared" si="150"/>
        <v>27720</v>
      </c>
      <c r="U91" s="189">
        <f t="shared" si="150"/>
        <v>15840</v>
      </c>
      <c r="V91" s="172">
        <f t="shared" si="142"/>
        <v>151800</v>
      </c>
      <c r="W91" s="200">
        <f t="shared" ref="W91" si="151">W29</f>
        <v>0</v>
      </c>
    </row>
    <row r="92" spans="1:23" x14ac:dyDescent="0.2">
      <c r="A92" s="56" t="s">
        <v>99</v>
      </c>
      <c r="B92" s="71">
        <f>B35</f>
        <v>3789</v>
      </c>
      <c r="C92" s="52">
        <f t="shared" ref="C92:I92" si="152">C35</f>
        <v>4648</v>
      </c>
      <c r="D92" s="52">
        <f t="shared" si="152"/>
        <v>4547</v>
      </c>
      <c r="E92" s="52">
        <f t="shared" si="152"/>
        <v>2931</v>
      </c>
      <c r="F92" s="52">
        <f t="shared" si="152"/>
        <v>5405</v>
      </c>
      <c r="G92" s="52">
        <f t="shared" si="152"/>
        <v>6366</v>
      </c>
      <c r="H92" s="52">
        <f t="shared" si="152"/>
        <v>6517</v>
      </c>
      <c r="I92" s="72">
        <f t="shared" si="152"/>
        <v>6820</v>
      </c>
      <c r="J92" s="104">
        <f t="shared" si="139"/>
        <v>41023</v>
      </c>
      <c r="K92" s="155">
        <f t="shared" ref="K92" si="153">K35</f>
        <v>1.2067227248689248E-2</v>
      </c>
      <c r="L92" s="30"/>
      <c r="M92" s="199" t="s">
        <v>99</v>
      </c>
      <c r="N92" s="176">
        <f>N35</f>
        <v>3789</v>
      </c>
      <c r="O92" s="177">
        <f t="shared" ref="O92:U92" si="154">O35</f>
        <v>4648</v>
      </c>
      <c r="P92" s="177">
        <f t="shared" si="154"/>
        <v>4547</v>
      </c>
      <c r="Q92" s="177">
        <f t="shared" si="154"/>
        <v>2931</v>
      </c>
      <c r="R92" s="177">
        <f t="shared" si="154"/>
        <v>5405</v>
      </c>
      <c r="S92" s="177">
        <f t="shared" si="154"/>
        <v>6366</v>
      </c>
      <c r="T92" s="177">
        <f t="shared" si="154"/>
        <v>6517</v>
      </c>
      <c r="U92" s="189">
        <f t="shared" si="154"/>
        <v>6820</v>
      </c>
      <c r="V92" s="172">
        <f t="shared" si="142"/>
        <v>41023</v>
      </c>
      <c r="W92" s="200">
        <f t="shared" ref="W92" si="155">W35</f>
        <v>1.2067227248689248E-2</v>
      </c>
    </row>
    <row r="93" spans="1:23" x14ac:dyDescent="0.2">
      <c r="A93" s="56" t="s">
        <v>100</v>
      </c>
      <c r="B93" s="71">
        <f>B41</f>
        <v>19468.28</v>
      </c>
      <c r="C93" s="52">
        <f t="shared" ref="C93:I93" si="156">C41</f>
        <v>17946.14</v>
      </c>
      <c r="D93" s="52">
        <f t="shared" si="156"/>
        <v>12709</v>
      </c>
      <c r="E93" s="52">
        <f t="shared" si="156"/>
        <v>6452</v>
      </c>
      <c r="F93" s="52">
        <f t="shared" si="156"/>
        <v>16032</v>
      </c>
      <c r="G93" s="52">
        <f t="shared" si="156"/>
        <v>34285.42</v>
      </c>
      <c r="H93" s="52">
        <f t="shared" si="156"/>
        <v>30026.28</v>
      </c>
      <c r="I93" s="72">
        <f t="shared" si="156"/>
        <v>21507</v>
      </c>
      <c r="J93" s="104">
        <f t="shared" si="139"/>
        <v>158426.12</v>
      </c>
      <c r="K93" s="155">
        <f t="shared" ref="K93" si="157">K41</f>
        <v>4.6602247328769532E-2</v>
      </c>
      <c r="L93" s="30"/>
      <c r="M93" s="199" t="s">
        <v>100</v>
      </c>
      <c r="N93" s="176">
        <f>N41</f>
        <v>19468.28</v>
      </c>
      <c r="O93" s="177">
        <f t="shared" ref="O93:U93" si="158">O41</f>
        <v>17946.14</v>
      </c>
      <c r="P93" s="177">
        <f t="shared" si="158"/>
        <v>12709</v>
      </c>
      <c r="Q93" s="177">
        <f t="shared" si="158"/>
        <v>6452</v>
      </c>
      <c r="R93" s="177">
        <f t="shared" si="158"/>
        <v>16032</v>
      </c>
      <c r="S93" s="177">
        <f t="shared" si="158"/>
        <v>34285.42</v>
      </c>
      <c r="T93" s="177">
        <f t="shared" si="158"/>
        <v>30026.28</v>
      </c>
      <c r="U93" s="189">
        <f t="shared" si="158"/>
        <v>21507</v>
      </c>
      <c r="V93" s="172">
        <f t="shared" si="142"/>
        <v>158426.12</v>
      </c>
      <c r="W93" s="200">
        <f t="shared" ref="W93" si="159">W41</f>
        <v>4.6602247328769532E-2</v>
      </c>
    </row>
    <row r="94" spans="1:23" x14ac:dyDescent="0.2">
      <c r="A94" s="56" t="s">
        <v>107</v>
      </c>
      <c r="B94" s="71">
        <f>B50</f>
        <v>28665</v>
      </c>
      <c r="C94" s="52">
        <f t="shared" ref="C94:I94" si="160">C50</f>
        <v>31645</v>
      </c>
      <c r="D94" s="52">
        <f t="shared" si="160"/>
        <v>37663.75</v>
      </c>
      <c r="E94" s="52">
        <f t="shared" si="160"/>
        <v>29611.75</v>
      </c>
      <c r="F94" s="52">
        <f t="shared" si="160"/>
        <v>41416</v>
      </c>
      <c r="G94" s="52">
        <f t="shared" si="160"/>
        <v>41215</v>
      </c>
      <c r="H94" s="52">
        <f t="shared" si="160"/>
        <v>45731.75</v>
      </c>
      <c r="I94" s="72">
        <f t="shared" si="160"/>
        <v>48931.75</v>
      </c>
      <c r="J94" s="104">
        <f t="shared" si="139"/>
        <v>304880</v>
      </c>
      <c r="K94" s="155">
        <f t="shared" ref="K94" si="161">K50</f>
        <v>0.10112138172178797</v>
      </c>
      <c r="L94" s="30"/>
      <c r="M94" s="199" t="s">
        <v>107</v>
      </c>
      <c r="N94" s="176">
        <f>N50</f>
        <v>28665</v>
      </c>
      <c r="O94" s="177">
        <f t="shared" ref="O94:U94" si="162">O50</f>
        <v>31645</v>
      </c>
      <c r="P94" s="177">
        <f t="shared" si="162"/>
        <v>37663.75</v>
      </c>
      <c r="Q94" s="177">
        <f t="shared" si="162"/>
        <v>29611.75</v>
      </c>
      <c r="R94" s="177">
        <f t="shared" si="162"/>
        <v>41416</v>
      </c>
      <c r="S94" s="177">
        <f t="shared" si="162"/>
        <v>41215</v>
      </c>
      <c r="T94" s="177">
        <f t="shared" si="162"/>
        <v>45731.75</v>
      </c>
      <c r="U94" s="189">
        <f t="shared" si="162"/>
        <v>48931.75</v>
      </c>
      <c r="V94" s="172">
        <f t="shared" si="142"/>
        <v>304880</v>
      </c>
      <c r="W94" s="200">
        <f t="shared" ref="W94" si="163">W50</f>
        <v>0.10112138172178797</v>
      </c>
    </row>
    <row r="95" spans="1:23" x14ac:dyDescent="0.2">
      <c r="A95" s="56" t="s">
        <v>102</v>
      </c>
      <c r="B95" s="71">
        <f>B58</f>
        <v>27152</v>
      </c>
      <c r="C95" s="52">
        <f t="shared" ref="C95:I95" si="164">C58</f>
        <v>33663</v>
      </c>
      <c r="D95" s="52">
        <f t="shared" si="164"/>
        <v>32898</v>
      </c>
      <c r="E95" s="52">
        <f t="shared" si="164"/>
        <v>20639</v>
      </c>
      <c r="F95" s="52">
        <f t="shared" si="164"/>
        <v>39408</v>
      </c>
      <c r="G95" s="52">
        <f t="shared" si="164"/>
        <v>46686</v>
      </c>
      <c r="H95" s="52">
        <f t="shared" si="164"/>
        <v>47835</v>
      </c>
      <c r="I95" s="72">
        <f t="shared" si="164"/>
        <v>50133</v>
      </c>
      <c r="J95" s="104">
        <f t="shared" si="139"/>
        <v>298414</v>
      </c>
      <c r="K95" s="155">
        <f t="shared" ref="K95" si="165">K58</f>
        <v>6.8183378554181273E-2</v>
      </c>
      <c r="L95" s="30"/>
      <c r="M95" s="199" t="s">
        <v>102</v>
      </c>
      <c r="N95" s="176">
        <f>N58</f>
        <v>27152</v>
      </c>
      <c r="O95" s="177">
        <f t="shared" ref="O95:U95" si="166">O58</f>
        <v>33663</v>
      </c>
      <c r="P95" s="177">
        <f t="shared" si="166"/>
        <v>32898</v>
      </c>
      <c r="Q95" s="177">
        <f t="shared" si="166"/>
        <v>20639</v>
      </c>
      <c r="R95" s="177">
        <f t="shared" si="166"/>
        <v>39408</v>
      </c>
      <c r="S95" s="177">
        <f t="shared" si="166"/>
        <v>46686</v>
      </c>
      <c r="T95" s="177">
        <f t="shared" si="166"/>
        <v>47835</v>
      </c>
      <c r="U95" s="189">
        <f t="shared" si="166"/>
        <v>50133</v>
      </c>
      <c r="V95" s="172">
        <f t="shared" si="142"/>
        <v>298414</v>
      </c>
      <c r="W95" s="200">
        <f t="shared" ref="W95" si="167">W58</f>
        <v>6.8183378554181273E-2</v>
      </c>
    </row>
    <row r="96" spans="1:23" x14ac:dyDescent="0.2">
      <c r="A96" s="56" t="s">
        <v>103</v>
      </c>
      <c r="B96" s="71">
        <f>B66</f>
        <v>12392</v>
      </c>
      <c r="C96" s="52">
        <f t="shared" ref="C96:I96" si="168">C66</f>
        <v>15288</v>
      </c>
      <c r="D96" s="52">
        <f t="shared" si="168"/>
        <v>14947</v>
      </c>
      <c r="E96" s="52">
        <f t="shared" si="168"/>
        <v>9498</v>
      </c>
      <c r="F96" s="52">
        <f t="shared" si="168"/>
        <v>17842</v>
      </c>
      <c r="G96" s="52">
        <f t="shared" si="168"/>
        <v>22798</v>
      </c>
      <c r="H96" s="52">
        <f t="shared" si="168"/>
        <v>23309</v>
      </c>
      <c r="I96" s="72">
        <f t="shared" si="168"/>
        <v>24331</v>
      </c>
      <c r="J96" s="104">
        <f t="shared" si="139"/>
        <v>140405</v>
      </c>
      <c r="K96" s="155">
        <f t="shared" ref="K96" si="169">K66</f>
        <v>4.1301197909763152E-2</v>
      </c>
      <c r="L96" s="30"/>
      <c r="M96" s="199" t="s">
        <v>103</v>
      </c>
      <c r="N96" s="176">
        <f>N66</f>
        <v>12392</v>
      </c>
      <c r="O96" s="177">
        <f t="shared" ref="O96:U96" si="170">O66</f>
        <v>15288</v>
      </c>
      <c r="P96" s="177">
        <f t="shared" si="170"/>
        <v>14947</v>
      </c>
      <c r="Q96" s="177">
        <f t="shared" si="170"/>
        <v>9498</v>
      </c>
      <c r="R96" s="177">
        <f t="shared" si="170"/>
        <v>17842</v>
      </c>
      <c r="S96" s="177">
        <f t="shared" si="170"/>
        <v>22798</v>
      </c>
      <c r="T96" s="177">
        <f t="shared" si="170"/>
        <v>23309</v>
      </c>
      <c r="U96" s="189">
        <f t="shared" si="170"/>
        <v>24331</v>
      </c>
      <c r="V96" s="172">
        <f t="shared" si="142"/>
        <v>140405</v>
      </c>
      <c r="W96" s="200">
        <f t="shared" ref="W96" si="171">W66</f>
        <v>4.1301197909763152E-2</v>
      </c>
    </row>
    <row r="97" spans="1:23" x14ac:dyDescent="0.2">
      <c r="A97" s="56" t="s">
        <v>108</v>
      </c>
      <c r="B97" s="71">
        <f>B72</f>
        <v>0</v>
      </c>
      <c r="C97" s="52">
        <f t="shared" ref="C97:I97" si="172">C72</f>
        <v>0</v>
      </c>
      <c r="D97" s="52">
        <f t="shared" si="172"/>
        <v>0</v>
      </c>
      <c r="E97" s="52">
        <f t="shared" si="172"/>
        <v>0</v>
      </c>
      <c r="F97" s="52">
        <f t="shared" si="172"/>
        <v>0</v>
      </c>
      <c r="G97" s="52">
        <f t="shared" si="172"/>
        <v>0</v>
      </c>
      <c r="H97" s="52">
        <f t="shared" si="172"/>
        <v>0</v>
      </c>
      <c r="I97" s="72">
        <f t="shared" si="172"/>
        <v>0</v>
      </c>
      <c r="J97" s="104">
        <f t="shared" si="139"/>
        <v>0</v>
      </c>
      <c r="K97" s="155">
        <f t="shared" ref="K97" si="173">K72</f>
        <v>0</v>
      </c>
      <c r="L97" s="30"/>
      <c r="M97" s="199" t="s">
        <v>108</v>
      </c>
      <c r="N97" s="176">
        <f>N72</f>
        <v>0</v>
      </c>
      <c r="O97" s="177">
        <f t="shared" ref="O97:U97" si="174">O72</f>
        <v>0</v>
      </c>
      <c r="P97" s="177">
        <f t="shared" si="174"/>
        <v>0</v>
      </c>
      <c r="Q97" s="177">
        <f t="shared" si="174"/>
        <v>0</v>
      </c>
      <c r="R97" s="177">
        <f t="shared" si="174"/>
        <v>0</v>
      </c>
      <c r="S97" s="177">
        <f t="shared" si="174"/>
        <v>0</v>
      </c>
      <c r="T97" s="177">
        <f t="shared" si="174"/>
        <v>0</v>
      </c>
      <c r="U97" s="189">
        <f t="shared" si="174"/>
        <v>0</v>
      </c>
      <c r="V97" s="172">
        <f t="shared" si="142"/>
        <v>0</v>
      </c>
      <c r="W97" s="200">
        <f t="shared" ref="W97" si="175">W72</f>
        <v>0</v>
      </c>
    </row>
    <row r="98" spans="1:23" x14ac:dyDescent="0.2">
      <c r="A98" s="56" t="s">
        <v>104</v>
      </c>
      <c r="B98" s="71">
        <f>B77</f>
        <v>0</v>
      </c>
      <c r="C98" s="52">
        <f t="shared" ref="C98:I98" si="176">C77</f>
        <v>0</v>
      </c>
      <c r="D98" s="52">
        <f t="shared" si="176"/>
        <v>0</v>
      </c>
      <c r="E98" s="52">
        <f t="shared" si="176"/>
        <v>0</v>
      </c>
      <c r="F98" s="52">
        <f t="shared" si="176"/>
        <v>0</v>
      </c>
      <c r="G98" s="52">
        <f t="shared" si="176"/>
        <v>0</v>
      </c>
      <c r="H98" s="52">
        <f t="shared" si="176"/>
        <v>0</v>
      </c>
      <c r="I98" s="72">
        <f t="shared" si="176"/>
        <v>0</v>
      </c>
      <c r="J98" s="104">
        <f t="shared" si="139"/>
        <v>0</v>
      </c>
      <c r="K98" s="155">
        <f t="shared" ref="K98" si="177">K77</f>
        <v>0</v>
      </c>
      <c r="L98" s="30"/>
      <c r="M98" s="199" t="s">
        <v>104</v>
      </c>
      <c r="N98" s="176">
        <f>N77</f>
        <v>0</v>
      </c>
      <c r="O98" s="177">
        <f t="shared" ref="O98:U98" si="178">O77</f>
        <v>0</v>
      </c>
      <c r="P98" s="177">
        <f t="shared" si="178"/>
        <v>0</v>
      </c>
      <c r="Q98" s="177">
        <f t="shared" si="178"/>
        <v>0</v>
      </c>
      <c r="R98" s="177">
        <f t="shared" si="178"/>
        <v>0</v>
      </c>
      <c r="S98" s="177">
        <f t="shared" si="178"/>
        <v>0</v>
      </c>
      <c r="T98" s="177">
        <f t="shared" si="178"/>
        <v>0</v>
      </c>
      <c r="U98" s="189">
        <f t="shared" si="178"/>
        <v>0</v>
      </c>
      <c r="V98" s="172">
        <f t="shared" si="142"/>
        <v>0</v>
      </c>
      <c r="W98" s="200">
        <f t="shared" ref="W98" si="179">W77</f>
        <v>0</v>
      </c>
    </row>
    <row r="99" spans="1:23" x14ac:dyDescent="0.2">
      <c r="A99" s="51"/>
      <c r="B99" s="71"/>
      <c r="C99" s="55"/>
      <c r="D99" s="52"/>
      <c r="E99" s="49"/>
      <c r="F99" s="49"/>
      <c r="G99" s="49"/>
      <c r="H99" s="49"/>
      <c r="I99" s="70"/>
      <c r="J99" s="104"/>
      <c r="K99" s="151"/>
      <c r="L99" s="30"/>
      <c r="M99" s="174"/>
      <c r="N99" s="176"/>
      <c r="O99" s="191"/>
      <c r="P99" s="177"/>
      <c r="Q99" s="192"/>
      <c r="R99" s="192"/>
      <c r="S99" s="192"/>
      <c r="T99" s="192"/>
      <c r="U99" s="193"/>
      <c r="V99" s="172"/>
      <c r="W99" s="175"/>
    </row>
    <row r="100" spans="1:23" s="28" customFormat="1" x14ac:dyDescent="0.2">
      <c r="A100" s="56" t="s">
        <v>109</v>
      </c>
      <c r="B100" s="76">
        <f>SUM(B89:B99)</f>
        <v>428930.80000000005</v>
      </c>
      <c r="C100" s="77">
        <f t="shared" ref="C100:K100" si="180">SUM(C89:C99)</f>
        <v>429235.4</v>
      </c>
      <c r="D100" s="77">
        <f t="shared" si="180"/>
        <v>389559.75</v>
      </c>
      <c r="E100" s="77">
        <f t="shared" si="180"/>
        <v>266047.75</v>
      </c>
      <c r="F100" s="77">
        <f t="shared" si="180"/>
        <v>420616</v>
      </c>
      <c r="G100" s="77">
        <f t="shared" si="180"/>
        <v>647501.20000000007</v>
      </c>
      <c r="H100" s="77">
        <f t="shared" si="180"/>
        <v>622507.55000000005</v>
      </c>
      <c r="I100" s="78">
        <f t="shared" si="180"/>
        <v>536324.75</v>
      </c>
      <c r="J100" s="105">
        <f t="shared" si="180"/>
        <v>3740723.2000000002</v>
      </c>
      <c r="K100" s="156">
        <f t="shared" si="180"/>
        <v>1.0475502819765341</v>
      </c>
      <c r="L100" s="31"/>
      <c r="M100" s="199" t="s">
        <v>109</v>
      </c>
      <c r="N100" s="181">
        <f>SUM(N89:N99)</f>
        <v>428930.80000000005</v>
      </c>
      <c r="O100" s="182">
        <f t="shared" ref="O100:W100" si="181">SUM(O89:O99)</f>
        <v>429235.4</v>
      </c>
      <c r="P100" s="182">
        <f t="shared" si="181"/>
        <v>389559.75</v>
      </c>
      <c r="Q100" s="182">
        <f t="shared" si="181"/>
        <v>266047.75</v>
      </c>
      <c r="R100" s="182">
        <f t="shared" si="181"/>
        <v>420616</v>
      </c>
      <c r="S100" s="182">
        <f t="shared" si="181"/>
        <v>647501.20000000007</v>
      </c>
      <c r="T100" s="182">
        <f t="shared" si="181"/>
        <v>622507.55000000005</v>
      </c>
      <c r="U100" s="190">
        <f t="shared" si="181"/>
        <v>536324.75</v>
      </c>
      <c r="V100" s="185">
        <f t="shared" si="181"/>
        <v>3740723.2000000002</v>
      </c>
      <c r="W100" s="202">
        <f t="shared" si="181"/>
        <v>1.0475502819765341</v>
      </c>
    </row>
    <row r="101" spans="1:23" x14ac:dyDescent="0.2">
      <c r="A101" s="56"/>
      <c r="B101" s="71"/>
      <c r="C101" s="55"/>
      <c r="D101" s="52"/>
      <c r="E101" s="49"/>
      <c r="F101" s="49"/>
      <c r="G101" s="49"/>
      <c r="H101" s="49"/>
      <c r="I101" s="70"/>
      <c r="J101" s="104"/>
      <c r="K101" s="151"/>
      <c r="L101" s="30"/>
      <c r="M101" s="199"/>
      <c r="N101" s="176"/>
      <c r="O101" s="191"/>
      <c r="P101" s="177"/>
      <c r="Q101" s="192"/>
      <c r="R101" s="192"/>
      <c r="S101" s="192"/>
      <c r="T101" s="192"/>
      <c r="U101" s="193"/>
      <c r="V101" s="172"/>
      <c r="W101" s="175"/>
    </row>
    <row r="102" spans="1:23" x14ac:dyDescent="0.2">
      <c r="A102" s="56" t="s">
        <v>105</v>
      </c>
      <c r="B102" s="71">
        <f>B84</f>
        <v>-14722</v>
      </c>
      <c r="C102" s="52">
        <f t="shared" ref="C102:I102" si="182">C84</f>
        <v>-17007</v>
      </c>
      <c r="D102" s="52">
        <f t="shared" si="182"/>
        <v>-16739</v>
      </c>
      <c r="E102" s="52">
        <f t="shared" si="182"/>
        <v>-12436</v>
      </c>
      <c r="F102" s="52">
        <f t="shared" si="182"/>
        <v>-19024</v>
      </c>
      <c r="G102" s="52">
        <f t="shared" si="182"/>
        <v>-21579</v>
      </c>
      <c r="H102" s="52">
        <f t="shared" si="182"/>
        <v>-21982</v>
      </c>
      <c r="I102" s="72">
        <f t="shared" si="182"/>
        <v>-22788</v>
      </c>
      <c r="J102" s="104">
        <f>SUM(B102:I102)</f>
        <v>-146277</v>
      </c>
      <c r="K102" s="157">
        <f>K84</f>
        <v>-4.3028491340382641E-2</v>
      </c>
      <c r="L102" s="30"/>
      <c r="M102" s="199" t="s">
        <v>105</v>
      </c>
      <c r="N102" s="176">
        <f>N84</f>
        <v>-14722</v>
      </c>
      <c r="O102" s="177">
        <f t="shared" ref="O102:U102" si="183">O84</f>
        <v>-17007</v>
      </c>
      <c r="P102" s="177">
        <f t="shared" si="183"/>
        <v>-16739</v>
      </c>
      <c r="Q102" s="177">
        <f t="shared" si="183"/>
        <v>-12436</v>
      </c>
      <c r="R102" s="177">
        <f t="shared" si="183"/>
        <v>-19024</v>
      </c>
      <c r="S102" s="177">
        <f t="shared" si="183"/>
        <v>-21579</v>
      </c>
      <c r="T102" s="177">
        <f t="shared" si="183"/>
        <v>-21982</v>
      </c>
      <c r="U102" s="189">
        <f t="shared" si="183"/>
        <v>-22788</v>
      </c>
      <c r="V102" s="172">
        <f>SUM(N102:U102)</f>
        <v>-146277</v>
      </c>
      <c r="W102" s="203">
        <f>W84</f>
        <v>-4.3028491340382641E-2</v>
      </c>
    </row>
    <row r="103" spans="1:23" x14ac:dyDescent="0.2">
      <c r="A103" s="56"/>
      <c r="B103" s="71"/>
      <c r="C103" s="55"/>
      <c r="D103" s="52"/>
      <c r="E103" s="49"/>
      <c r="F103" s="49"/>
      <c r="G103" s="49"/>
      <c r="H103" s="49"/>
      <c r="I103" s="70"/>
      <c r="J103" s="104"/>
      <c r="K103" s="151"/>
      <c r="L103" s="30"/>
      <c r="M103" s="199"/>
      <c r="N103" s="176"/>
      <c r="O103" s="191"/>
      <c r="P103" s="177"/>
      <c r="Q103" s="192"/>
      <c r="R103" s="192"/>
      <c r="S103" s="192"/>
      <c r="T103" s="192"/>
      <c r="U103" s="193"/>
      <c r="V103" s="172"/>
      <c r="W103" s="175"/>
    </row>
    <row r="104" spans="1:23" s="28" customFormat="1" ht="13.5" thickBot="1" x14ac:dyDescent="0.25">
      <c r="A104" s="56" t="s">
        <v>110</v>
      </c>
      <c r="B104" s="79">
        <f t="shared" ref="B104:K104" si="184">B100+B102</f>
        <v>414208.80000000005</v>
      </c>
      <c r="C104" s="80">
        <f t="shared" si="184"/>
        <v>412228.4</v>
      </c>
      <c r="D104" s="80">
        <f t="shared" si="184"/>
        <v>372820.75</v>
      </c>
      <c r="E104" s="80">
        <f t="shared" si="184"/>
        <v>253611.75</v>
      </c>
      <c r="F104" s="80">
        <f t="shared" si="184"/>
        <v>401592</v>
      </c>
      <c r="G104" s="80">
        <f t="shared" si="184"/>
        <v>625922.20000000007</v>
      </c>
      <c r="H104" s="80">
        <f t="shared" si="184"/>
        <v>600525.55000000005</v>
      </c>
      <c r="I104" s="81">
        <f t="shared" si="184"/>
        <v>513536.75</v>
      </c>
      <c r="J104" s="106">
        <f t="shared" si="184"/>
        <v>3594446.2</v>
      </c>
      <c r="K104" s="154">
        <f t="shared" si="184"/>
        <v>1.0045217906361514</v>
      </c>
      <c r="L104" s="31"/>
      <c r="M104" s="199" t="s">
        <v>110</v>
      </c>
      <c r="N104" s="194">
        <f t="shared" ref="N104:W104" si="185">N100+N102</f>
        <v>414208.80000000005</v>
      </c>
      <c r="O104" s="195">
        <f t="shared" si="185"/>
        <v>412228.4</v>
      </c>
      <c r="P104" s="195">
        <f t="shared" si="185"/>
        <v>372820.75</v>
      </c>
      <c r="Q104" s="195">
        <f t="shared" si="185"/>
        <v>253611.75</v>
      </c>
      <c r="R104" s="195">
        <f t="shared" si="185"/>
        <v>401592</v>
      </c>
      <c r="S104" s="195">
        <f t="shared" si="185"/>
        <v>625922.20000000007</v>
      </c>
      <c r="T104" s="195">
        <f t="shared" si="185"/>
        <v>600525.55000000005</v>
      </c>
      <c r="U104" s="196">
        <f t="shared" si="185"/>
        <v>513536.75</v>
      </c>
      <c r="V104" s="197">
        <f t="shared" si="185"/>
        <v>3594446.2</v>
      </c>
      <c r="W104" s="198">
        <f t="shared" si="185"/>
        <v>1.0045217906361514</v>
      </c>
    </row>
    <row r="105" spans="1:23" x14ac:dyDescent="0.2">
      <c r="A105" s="51"/>
      <c r="B105" s="71"/>
      <c r="C105" s="58"/>
      <c r="D105" s="52"/>
      <c r="E105" s="49"/>
      <c r="F105" s="49"/>
      <c r="G105" s="49"/>
      <c r="H105" s="49"/>
      <c r="I105" s="70"/>
      <c r="J105" s="104"/>
      <c r="K105" s="30"/>
      <c r="L105" s="30"/>
      <c r="M105" s="174"/>
      <c r="N105" s="176"/>
      <c r="O105" s="204"/>
      <c r="P105" s="177"/>
      <c r="Q105" s="192"/>
      <c r="R105" s="192"/>
      <c r="S105" s="192"/>
      <c r="T105" s="192"/>
      <c r="U105" s="193"/>
      <c r="V105" s="172"/>
      <c r="W105" s="30"/>
    </row>
    <row r="106" spans="1:23" x14ac:dyDescent="0.2">
      <c r="A106" s="51"/>
      <c r="B106" s="71"/>
      <c r="C106" s="58"/>
      <c r="D106" s="52"/>
      <c r="E106" s="49"/>
      <c r="F106" s="49"/>
      <c r="G106" s="49"/>
      <c r="H106" s="49"/>
      <c r="I106" s="70"/>
      <c r="J106" s="104"/>
      <c r="K106" s="30"/>
      <c r="L106" s="30"/>
      <c r="M106" s="174"/>
      <c r="N106" s="176"/>
      <c r="O106" s="204"/>
      <c r="P106" s="177"/>
      <c r="Q106" s="192"/>
      <c r="R106" s="192"/>
      <c r="S106" s="192"/>
      <c r="T106" s="192"/>
      <c r="U106" s="193"/>
      <c r="V106" s="172"/>
      <c r="W106" s="30"/>
    </row>
    <row r="107" spans="1:23" x14ac:dyDescent="0.2">
      <c r="A107" s="59" t="s">
        <v>96</v>
      </c>
      <c r="B107" s="75"/>
      <c r="C107" s="55"/>
      <c r="D107" s="52"/>
      <c r="E107" s="49"/>
      <c r="F107" s="49"/>
      <c r="G107" s="49"/>
      <c r="H107" s="49"/>
      <c r="I107" s="70"/>
      <c r="J107" s="104"/>
      <c r="K107" s="30"/>
      <c r="L107" s="30"/>
      <c r="M107" s="205" t="s">
        <v>96</v>
      </c>
      <c r="N107" s="206"/>
      <c r="O107" s="191"/>
      <c r="P107" s="177"/>
      <c r="Q107" s="192"/>
      <c r="R107" s="192"/>
      <c r="S107" s="192"/>
      <c r="T107" s="192"/>
      <c r="U107" s="193"/>
      <c r="V107" s="172"/>
      <c r="W107" s="30"/>
    </row>
    <row r="108" spans="1:23" ht="15" x14ac:dyDescent="0.25">
      <c r="A108" s="60" t="s">
        <v>154</v>
      </c>
      <c r="B108" s="75">
        <f>'2. Projected Funding'!C28</f>
        <v>268995</v>
      </c>
      <c r="C108" s="49">
        <f>'2. Projected Funding'!D28</f>
        <v>346660</v>
      </c>
      <c r="D108" s="49">
        <f>'2. Projected Funding'!E28</f>
        <v>351930.75</v>
      </c>
      <c r="E108" s="49">
        <f>'2. Projected Funding'!F28</f>
        <v>233875.75</v>
      </c>
      <c r="F108" s="49">
        <f>'2. Projected Funding'!G28</f>
        <v>396145</v>
      </c>
      <c r="G108" s="49">
        <f>'2. Projected Funding'!H28</f>
        <v>451952</v>
      </c>
      <c r="H108" s="49">
        <f>'2. Projected Funding'!I28</f>
        <v>467815.75</v>
      </c>
      <c r="I108" s="70">
        <f>'2. Projected Funding'!J28</f>
        <v>494472.75</v>
      </c>
      <c r="J108" s="104">
        <f t="shared" ref="J108:J111" si="186">SUM(B108:I108)</f>
        <v>3011847</v>
      </c>
      <c r="K108" s="30"/>
      <c r="L108" s="30"/>
      <c r="M108" s="207" t="s">
        <v>154</v>
      </c>
      <c r="N108" s="226">
        <f t="shared" ref="N108:N111" si="187">B108</f>
        <v>268995</v>
      </c>
      <c r="O108" s="227">
        <f t="shared" ref="O108:O111" si="188">C108</f>
        <v>346660</v>
      </c>
      <c r="P108" s="227">
        <f t="shared" ref="P108:P111" si="189">D108</f>
        <v>351930.75</v>
      </c>
      <c r="Q108" s="227">
        <f t="shared" ref="Q108:Q111" si="190">E108</f>
        <v>233875.75</v>
      </c>
      <c r="R108" s="227">
        <f t="shared" ref="R108:R111" si="191">F108</f>
        <v>396145</v>
      </c>
      <c r="S108" s="227">
        <f t="shared" ref="S108:S111" si="192">G108</f>
        <v>451952</v>
      </c>
      <c r="T108" s="227">
        <f t="shared" ref="T108:T111" si="193">H108</f>
        <v>467815.75</v>
      </c>
      <c r="U108" s="228">
        <f t="shared" ref="U108:U111" si="194">I108</f>
        <v>494472.75</v>
      </c>
      <c r="V108" s="172">
        <f t="shared" ref="V108:V111" si="195">SUM(N108:U108)</f>
        <v>3011847</v>
      </c>
      <c r="W108" s="30"/>
    </row>
    <row r="109" spans="1:23" ht="15" x14ac:dyDescent="0.25">
      <c r="A109" s="60" t="s">
        <v>17</v>
      </c>
      <c r="B109" s="75">
        <f>'2. Projected Funding'!C30</f>
        <v>27720</v>
      </c>
      <c r="C109" s="49">
        <f>'2. Projected Funding'!D30</f>
        <v>18480</v>
      </c>
      <c r="D109" s="49">
        <f>'2. Projected Funding'!E30</f>
        <v>27720</v>
      </c>
      <c r="E109" s="49">
        <f>'2. Projected Funding'!F30</f>
        <v>15840</v>
      </c>
      <c r="F109" s="49">
        <f>'2. Projected Funding'!G30</f>
        <v>0</v>
      </c>
      <c r="G109" s="49">
        <f>'2. Projected Funding'!H30</f>
        <v>18480</v>
      </c>
      <c r="H109" s="49">
        <f>'2. Projected Funding'!I30</f>
        <v>27720</v>
      </c>
      <c r="I109" s="70">
        <f>'2. Projected Funding'!J30</f>
        <v>15840</v>
      </c>
      <c r="J109" s="104">
        <f t="shared" si="186"/>
        <v>151800</v>
      </c>
      <c r="K109" s="30"/>
      <c r="L109" s="30"/>
      <c r="M109" s="207" t="s">
        <v>17</v>
      </c>
      <c r="N109" s="226">
        <f t="shared" si="187"/>
        <v>27720</v>
      </c>
      <c r="O109" s="227">
        <f t="shared" si="188"/>
        <v>18480</v>
      </c>
      <c r="P109" s="227">
        <f t="shared" si="189"/>
        <v>27720</v>
      </c>
      <c r="Q109" s="227">
        <f t="shared" si="190"/>
        <v>15840</v>
      </c>
      <c r="R109" s="227">
        <f t="shared" si="191"/>
        <v>0</v>
      </c>
      <c r="S109" s="227">
        <f t="shared" si="192"/>
        <v>18480</v>
      </c>
      <c r="T109" s="227">
        <f t="shared" si="193"/>
        <v>27720</v>
      </c>
      <c r="U109" s="228">
        <f t="shared" si="194"/>
        <v>15840</v>
      </c>
      <c r="V109" s="172">
        <f t="shared" si="195"/>
        <v>151800</v>
      </c>
      <c r="W109" s="30"/>
    </row>
    <row r="110" spans="1:23" ht="15" x14ac:dyDescent="0.25">
      <c r="A110" s="60" t="s">
        <v>93</v>
      </c>
      <c r="B110" s="133">
        <f>'2. Projected Funding'!C38</f>
        <v>96922.8</v>
      </c>
      <c r="C110" s="49">
        <f>'2. Projected Funding'!D38</f>
        <v>48461.4</v>
      </c>
      <c r="D110" s="49">
        <f>'2. Projected Funding'!E38</f>
        <v>0</v>
      </c>
      <c r="E110" s="49">
        <f>'2. Projected Funding'!F38</f>
        <v>0</v>
      </c>
      <c r="F110" s="49">
        <f>'2. Projected Funding'!G38</f>
        <v>0</v>
      </c>
      <c r="G110" s="49">
        <f>'2. Projected Funding'!H38</f>
        <v>145384.20000000001</v>
      </c>
      <c r="H110" s="49">
        <f>'2. Projected Funding'!I38</f>
        <v>96922.8</v>
      </c>
      <c r="I110" s="70">
        <f>'2. Projected Funding'!J38</f>
        <v>0</v>
      </c>
      <c r="J110" s="104">
        <f t="shared" si="186"/>
        <v>387691.2</v>
      </c>
      <c r="K110" s="30"/>
      <c r="L110" s="30"/>
      <c r="M110" s="207" t="s">
        <v>93</v>
      </c>
      <c r="N110" s="226">
        <f t="shared" si="187"/>
        <v>96922.8</v>
      </c>
      <c r="O110" s="227">
        <f t="shared" si="188"/>
        <v>48461.4</v>
      </c>
      <c r="P110" s="227">
        <f t="shared" si="189"/>
        <v>0</v>
      </c>
      <c r="Q110" s="227">
        <f t="shared" si="190"/>
        <v>0</v>
      </c>
      <c r="R110" s="227">
        <f t="shared" si="191"/>
        <v>0</v>
      </c>
      <c r="S110" s="227">
        <f t="shared" si="192"/>
        <v>145384.20000000001</v>
      </c>
      <c r="T110" s="227">
        <f t="shared" si="193"/>
        <v>96922.8</v>
      </c>
      <c r="U110" s="228">
        <f t="shared" si="194"/>
        <v>0</v>
      </c>
      <c r="V110" s="172">
        <f t="shared" si="195"/>
        <v>387691.2</v>
      </c>
      <c r="W110" s="30"/>
    </row>
    <row r="111" spans="1:23" ht="15" x14ac:dyDescent="0.25">
      <c r="A111" s="60" t="s">
        <v>157</v>
      </c>
      <c r="B111" s="75">
        <f>'2. Projected Funding'!C32</f>
        <v>4563</v>
      </c>
      <c r="C111" s="49">
        <f>'2. Projected Funding'!D32</f>
        <v>4754</v>
      </c>
      <c r="D111" s="49">
        <f>'2. Projected Funding'!E32</f>
        <v>4731</v>
      </c>
      <c r="E111" s="49">
        <f>'2. Projected Funding'!F32</f>
        <v>4371</v>
      </c>
      <c r="F111" s="49">
        <f>'2. Projected Funding'!G32</f>
        <v>4923</v>
      </c>
      <c r="G111" s="49">
        <f>'2. Projected Funding'!H32</f>
        <v>5136</v>
      </c>
      <c r="H111" s="49">
        <f>'2. Projected Funding'!I32</f>
        <v>5170</v>
      </c>
      <c r="I111" s="70">
        <f>'2. Projected Funding'!J32</f>
        <v>5238</v>
      </c>
      <c r="J111" s="104">
        <f t="shared" si="186"/>
        <v>38886</v>
      </c>
      <c r="K111" s="30"/>
      <c r="L111" s="30"/>
      <c r="M111" s="207" t="s">
        <v>157</v>
      </c>
      <c r="N111" s="226">
        <f t="shared" si="187"/>
        <v>4563</v>
      </c>
      <c r="O111" s="227">
        <f t="shared" si="188"/>
        <v>4754</v>
      </c>
      <c r="P111" s="227">
        <f t="shared" si="189"/>
        <v>4731</v>
      </c>
      <c r="Q111" s="227">
        <f t="shared" si="190"/>
        <v>4371</v>
      </c>
      <c r="R111" s="227">
        <f t="shared" si="191"/>
        <v>4923</v>
      </c>
      <c r="S111" s="227">
        <f t="shared" si="192"/>
        <v>5136</v>
      </c>
      <c r="T111" s="227">
        <f t="shared" si="193"/>
        <v>5170</v>
      </c>
      <c r="U111" s="228">
        <f t="shared" si="194"/>
        <v>5238</v>
      </c>
      <c r="V111" s="172">
        <f t="shared" si="195"/>
        <v>38886</v>
      </c>
      <c r="W111" s="30"/>
    </row>
    <row r="112" spans="1:23" x14ac:dyDescent="0.2">
      <c r="A112" s="51"/>
      <c r="B112" s="75"/>
      <c r="C112" s="58"/>
      <c r="D112" s="52"/>
      <c r="E112" s="49"/>
      <c r="F112" s="49"/>
      <c r="G112" s="49"/>
      <c r="H112" s="49"/>
      <c r="I112" s="70"/>
      <c r="J112" s="104"/>
      <c r="K112" s="30"/>
      <c r="L112" s="30"/>
      <c r="M112" s="174"/>
      <c r="N112" s="206"/>
      <c r="O112" s="204"/>
      <c r="P112" s="177"/>
      <c r="Q112" s="192"/>
      <c r="R112" s="192"/>
      <c r="S112" s="192"/>
      <c r="T112" s="192"/>
      <c r="U112" s="193"/>
      <c r="V112" s="172"/>
      <c r="W112" s="30"/>
    </row>
    <row r="113" spans="1:23" x14ac:dyDescent="0.2">
      <c r="A113" s="61" t="s">
        <v>111</v>
      </c>
      <c r="B113" s="82">
        <f>SUM(B108:B112)</f>
        <v>398200.8</v>
      </c>
      <c r="C113" s="83">
        <f t="shared" ref="C113:J113" si="196">SUM(C108:C112)</f>
        <v>418355.4</v>
      </c>
      <c r="D113" s="83">
        <f t="shared" si="196"/>
        <v>384381.75</v>
      </c>
      <c r="E113" s="83">
        <f t="shared" si="196"/>
        <v>254086.75</v>
      </c>
      <c r="F113" s="83">
        <f t="shared" si="196"/>
        <v>401068</v>
      </c>
      <c r="G113" s="83">
        <f t="shared" si="196"/>
        <v>620952.19999999995</v>
      </c>
      <c r="H113" s="83">
        <f t="shared" si="196"/>
        <v>597628.55000000005</v>
      </c>
      <c r="I113" s="84">
        <f t="shared" si="196"/>
        <v>515550.75</v>
      </c>
      <c r="J113" s="107">
        <f t="shared" si="196"/>
        <v>3590224.2</v>
      </c>
      <c r="K113" s="30"/>
      <c r="L113" s="30"/>
      <c r="M113" s="208" t="s">
        <v>111</v>
      </c>
      <c r="N113" s="209">
        <f>SUM(N108:N112)</f>
        <v>398200.8</v>
      </c>
      <c r="O113" s="210">
        <f t="shared" ref="O113:V113" si="197">SUM(O108:O112)</f>
        <v>418355.4</v>
      </c>
      <c r="P113" s="210">
        <f t="shared" si="197"/>
        <v>384381.75</v>
      </c>
      <c r="Q113" s="210">
        <f t="shared" si="197"/>
        <v>254086.75</v>
      </c>
      <c r="R113" s="210">
        <f t="shared" si="197"/>
        <v>401068</v>
      </c>
      <c r="S113" s="210">
        <f t="shared" si="197"/>
        <v>620952.19999999995</v>
      </c>
      <c r="T113" s="210">
        <f t="shared" si="197"/>
        <v>597628.55000000005</v>
      </c>
      <c r="U113" s="211">
        <f t="shared" si="197"/>
        <v>515550.75</v>
      </c>
      <c r="V113" s="212">
        <f t="shared" si="197"/>
        <v>3590224.2</v>
      </c>
      <c r="W113" s="30"/>
    </row>
    <row r="114" spans="1:23" x14ac:dyDescent="0.2">
      <c r="A114" s="62"/>
      <c r="B114" s="75"/>
      <c r="C114" s="58"/>
      <c r="D114" s="52"/>
      <c r="E114" s="49"/>
      <c r="F114" s="49"/>
      <c r="G114" s="49"/>
      <c r="H114" s="49"/>
      <c r="I114" s="70"/>
      <c r="J114" s="104"/>
      <c r="K114" s="30"/>
      <c r="L114" s="30"/>
      <c r="M114" s="213"/>
      <c r="N114" s="206"/>
      <c r="O114" s="204"/>
      <c r="P114" s="177"/>
      <c r="Q114" s="192"/>
      <c r="R114" s="192"/>
      <c r="S114" s="192"/>
      <c r="T114" s="192"/>
      <c r="U114" s="193"/>
      <c r="V114" s="172"/>
      <c r="W114" s="30"/>
    </row>
    <row r="115" spans="1:23" ht="15" x14ac:dyDescent="0.25">
      <c r="A115" s="62" t="s">
        <v>112</v>
      </c>
      <c r="B115" s="71">
        <f>'2. Projected Funding'!C34</f>
        <v>50000</v>
      </c>
      <c r="C115" s="52">
        <f>'2. Projected Funding'!D34</f>
        <v>25000</v>
      </c>
      <c r="D115" s="52">
        <f>'2. Projected Funding'!E34</f>
        <v>20000</v>
      </c>
      <c r="E115" s="52">
        <f>'2. Projected Funding'!F34</f>
        <v>30000</v>
      </c>
      <c r="F115" s="52">
        <f>'2. Projected Funding'!G34</f>
        <v>0</v>
      </c>
      <c r="G115" s="52">
        <f>'2. Projected Funding'!H34</f>
        <v>50000</v>
      </c>
      <c r="H115" s="52">
        <f>'2. Projected Funding'!I34</f>
        <v>60000</v>
      </c>
      <c r="I115" s="72">
        <f>'2. Projected Funding'!J34</f>
        <v>85000</v>
      </c>
      <c r="J115" s="104">
        <f>SUM(B115:I115)</f>
        <v>320000</v>
      </c>
      <c r="K115" s="30"/>
      <c r="L115" s="30"/>
      <c r="M115" s="213" t="s">
        <v>112</v>
      </c>
      <c r="N115" s="226">
        <f>B115</f>
        <v>50000</v>
      </c>
      <c r="O115" s="227">
        <f>C115</f>
        <v>25000</v>
      </c>
      <c r="P115" s="227">
        <f t="shared" ref="P115" si="198">D115</f>
        <v>20000</v>
      </c>
      <c r="Q115" s="227">
        <f t="shared" ref="Q115" si="199">E115</f>
        <v>30000</v>
      </c>
      <c r="R115" s="227">
        <f t="shared" ref="R115" si="200">F115</f>
        <v>0</v>
      </c>
      <c r="S115" s="227">
        <f t="shared" ref="S115" si="201">G115</f>
        <v>50000</v>
      </c>
      <c r="T115" s="227">
        <f t="shared" ref="T115" si="202">H115</f>
        <v>60000</v>
      </c>
      <c r="U115" s="228">
        <f>I115</f>
        <v>85000</v>
      </c>
      <c r="V115" s="172">
        <f>SUM(N115:U115)</f>
        <v>320000</v>
      </c>
      <c r="W115" s="30"/>
    </row>
    <row r="116" spans="1:23" x14ac:dyDescent="0.2">
      <c r="A116" s="62"/>
      <c r="B116" s="75"/>
      <c r="C116" s="58"/>
      <c r="D116" s="52"/>
      <c r="E116" s="49"/>
      <c r="F116" s="49"/>
      <c r="G116" s="49"/>
      <c r="H116" s="49"/>
      <c r="I116" s="70"/>
      <c r="J116" s="104"/>
      <c r="K116" s="30"/>
      <c r="L116" s="30"/>
      <c r="M116" s="213"/>
      <c r="N116" s="206"/>
      <c r="O116" s="204"/>
      <c r="P116" s="177"/>
      <c r="Q116" s="192"/>
      <c r="R116" s="192"/>
      <c r="S116" s="192"/>
      <c r="T116" s="192"/>
      <c r="U116" s="193"/>
      <c r="V116" s="172"/>
      <c r="W116" s="30"/>
    </row>
    <row r="117" spans="1:23" ht="13.5" thickBot="1" x14ac:dyDescent="0.25">
      <c r="A117" s="62" t="s">
        <v>113</v>
      </c>
      <c r="B117" s="85">
        <f>SUM(B113:B116)</f>
        <v>448200.8</v>
      </c>
      <c r="C117" s="86">
        <f t="shared" ref="C117:J117" si="203">SUM(C113:C116)</f>
        <v>443355.4</v>
      </c>
      <c r="D117" s="86">
        <f t="shared" si="203"/>
        <v>404381.75</v>
      </c>
      <c r="E117" s="86">
        <f t="shared" si="203"/>
        <v>284086.75</v>
      </c>
      <c r="F117" s="86">
        <f t="shared" si="203"/>
        <v>401068</v>
      </c>
      <c r="G117" s="86">
        <f t="shared" si="203"/>
        <v>670952.19999999995</v>
      </c>
      <c r="H117" s="86">
        <f t="shared" si="203"/>
        <v>657628.55000000005</v>
      </c>
      <c r="I117" s="87">
        <f t="shared" si="203"/>
        <v>600550.75</v>
      </c>
      <c r="J117" s="108">
        <f t="shared" si="203"/>
        <v>3910224.2</v>
      </c>
      <c r="K117" s="30"/>
      <c r="L117" s="30"/>
      <c r="M117" s="213" t="s">
        <v>113</v>
      </c>
      <c r="N117" s="214">
        <f>SUM(N113:N116)</f>
        <v>448200.8</v>
      </c>
      <c r="O117" s="215">
        <f t="shared" ref="O117:V117" si="204">SUM(O113:O116)</f>
        <v>443355.4</v>
      </c>
      <c r="P117" s="215">
        <f t="shared" si="204"/>
        <v>404381.75</v>
      </c>
      <c r="Q117" s="215">
        <f t="shared" si="204"/>
        <v>284086.75</v>
      </c>
      <c r="R117" s="215">
        <f t="shared" si="204"/>
        <v>401068</v>
      </c>
      <c r="S117" s="215">
        <f t="shared" si="204"/>
        <v>670952.19999999995</v>
      </c>
      <c r="T117" s="215">
        <f t="shared" si="204"/>
        <v>657628.55000000005</v>
      </c>
      <c r="U117" s="216">
        <f t="shared" si="204"/>
        <v>600550.75</v>
      </c>
      <c r="V117" s="217">
        <f t="shared" si="204"/>
        <v>3910224.2</v>
      </c>
      <c r="W117" s="30"/>
    </row>
    <row r="118" spans="1:23" x14ac:dyDescent="0.2">
      <c r="A118" s="64"/>
      <c r="B118" s="75"/>
      <c r="C118" s="58"/>
      <c r="D118" s="52"/>
      <c r="E118" s="49"/>
      <c r="F118" s="49"/>
      <c r="G118" s="49"/>
      <c r="H118" s="49"/>
      <c r="I118" s="70"/>
      <c r="J118" s="104"/>
      <c r="K118" s="30"/>
      <c r="L118" s="30"/>
      <c r="M118" s="218"/>
      <c r="N118" s="206"/>
      <c r="O118" s="204"/>
      <c r="P118" s="177"/>
      <c r="Q118" s="192"/>
      <c r="R118" s="192"/>
      <c r="S118" s="192"/>
      <c r="T118" s="192"/>
      <c r="U118" s="193"/>
      <c r="V118" s="172"/>
      <c r="W118" s="30"/>
    </row>
    <row r="119" spans="1:23" x14ac:dyDescent="0.2">
      <c r="A119" s="65" t="s">
        <v>114</v>
      </c>
      <c r="B119" s="88">
        <f>B113-B104</f>
        <v>-16008.000000000058</v>
      </c>
      <c r="C119" s="89">
        <f t="shared" ref="C119:J119" si="205">C113-C104</f>
        <v>6127</v>
      </c>
      <c r="D119" s="89">
        <f t="shared" si="205"/>
        <v>11561</v>
      </c>
      <c r="E119" s="89">
        <f t="shared" si="205"/>
        <v>475</v>
      </c>
      <c r="F119" s="89">
        <f t="shared" si="205"/>
        <v>-524</v>
      </c>
      <c r="G119" s="89">
        <f t="shared" si="205"/>
        <v>-4970.0000000001164</v>
      </c>
      <c r="H119" s="89">
        <f t="shared" si="205"/>
        <v>-2897</v>
      </c>
      <c r="I119" s="90">
        <f t="shared" si="205"/>
        <v>2014</v>
      </c>
      <c r="J119" s="109">
        <f t="shared" si="205"/>
        <v>-4222</v>
      </c>
      <c r="K119" s="30"/>
      <c r="L119" s="30"/>
      <c r="M119" s="219" t="s">
        <v>114</v>
      </c>
      <c r="N119" s="88">
        <f>N113-N104</f>
        <v>-16008.000000000058</v>
      </c>
      <c r="O119" s="89">
        <f t="shared" ref="O119:V119" si="206">O113-O104</f>
        <v>6127</v>
      </c>
      <c r="P119" s="89">
        <f t="shared" si="206"/>
        <v>11561</v>
      </c>
      <c r="Q119" s="89">
        <f t="shared" si="206"/>
        <v>475</v>
      </c>
      <c r="R119" s="89">
        <f t="shared" si="206"/>
        <v>-524</v>
      </c>
      <c r="S119" s="89">
        <f t="shared" si="206"/>
        <v>-4970.0000000001164</v>
      </c>
      <c r="T119" s="89">
        <f t="shared" si="206"/>
        <v>-2897</v>
      </c>
      <c r="U119" s="90">
        <f t="shared" si="206"/>
        <v>2014</v>
      </c>
      <c r="V119" s="109">
        <f t="shared" si="206"/>
        <v>-4222</v>
      </c>
      <c r="W119" s="30"/>
    </row>
    <row r="120" spans="1:23" x14ac:dyDescent="0.2">
      <c r="A120" s="65"/>
      <c r="B120" s="73"/>
      <c r="C120" s="54"/>
      <c r="D120" s="54"/>
      <c r="E120" s="54"/>
      <c r="F120" s="54"/>
      <c r="G120" s="54"/>
      <c r="H120" s="54"/>
      <c r="I120" s="74"/>
      <c r="J120" s="104"/>
      <c r="K120" s="30"/>
      <c r="L120" s="30"/>
      <c r="M120" s="219"/>
      <c r="N120" s="220"/>
      <c r="O120" s="221"/>
      <c r="P120" s="221"/>
      <c r="Q120" s="221"/>
      <c r="R120" s="221"/>
      <c r="S120" s="221"/>
      <c r="T120" s="221"/>
      <c r="U120" s="222"/>
      <c r="V120" s="172"/>
      <c r="W120" s="30"/>
    </row>
    <row r="121" spans="1:23" ht="13.5" thickBot="1" x14ac:dyDescent="0.25">
      <c r="A121" s="65" t="s">
        <v>254</v>
      </c>
      <c r="B121" s="91">
        <f>B117-B104</f>
        <v>33991.999999999942</v>
      </c>
      <c r="C121" s="92">
        <f t="shared" ref="C121:J121" si="207">C117-C104</f>
        <v>31127</v>
      </c>
      <c r="D121" s="92">
        <f t="shared" si="207"/>
        <v>31561</v>
      </c>
      <c r="E121" s="92">
        <f t="shared" si="207"/>
        <v>30475</v>
      </c>
      <c r="F121" s="92">
        <f t="shared" si="207"/>
        <v>-524</v>
      </c>
      <c r="G121" s="92">
        <f t="shared" si="207"/>
        <v>45029.999999999884</v>
      </c>
      <c r="H121" s="92">
        <f t="shared" si="207"/>
        <v>57103</v>
      </c>
      <c r="I121" s="93">
        <f t="shared" si="207"/>
        <v>87014</v>
      </c>
      <c r="J121" s="110">
        <f t="shared" si="207"/>
        <v>315778</v>
      </c>
      <c r="K121" s="30"/>
      <c r="L121" s="30"/>
      <c r="M121" s="219" t="s">
        <v>254</v>
      </c>
      <c r="N121" s="91">
        <f>N117-N104</f>
        <v>33991.999999999942</v>
      </c>
      <c r="O121" s="92">
        <f t="shared" ref="O121:V121" si="208">O117-O104</f>
        <v>31127</v>
      </c>
      <c r="P121" s="92">
        <f t="shared" si="208"/>
        <v>31561</v>
      </c>
      <c r="Q121" s="92">
        <f t="shared" si="208"/>
        <v>30475</v>
      </c>
      <c r="R121" s="92">
        <f t="shared" si="208"/>
        <v>-524</v>
      </c>
      <c r="S121" s="92">
        <f t="shared" si="208"/>
        <v>45029.999999999884</v>
      </c>
      <c r="T121" s="92">
        <f t="shared" si="208"/>
        <v>57103</v>
      </c>
      <c r="U121" s="93">
        <f t="shared" si="208"/>
        <v>87014</v>
      </c>
      <c r="V121" s="110">
        <f t="shared" si="208"/>
        <v>315778</v>
      </c>
      <c r="W121" s="30"/>
    </row>
    <row r="122" spans="1:23" x14ac:dyDescent="0.2">
      <c r="A122" s="51"/>
      <c r="B122" s="63"/>
      <c r="C122" s="66"/>
      <c r="D122" s="63"/>
      <c r="E122" s="50"/>
      <c r="F122" s="50"/>
      <c r="G122" s="50"/>
      <c r="H122" s="50"/>
      <c r="I122" s="50"/>
      <c r="J122" s="47"/>
      <c r="M122" s="174"/>
      <c r="N122" s="223"/>
      <c r="O122" s="224"/>
      <c r="P122" s="223"/>
      <c r="Q122" s="225"/>
      <c r="R122" s="225"/>
      <c r="S122" s="225"/>
      <c r="T122" s="225"/>
      <c r="U122" s="225"/>
      <c r="V122" s="160"/>
    </row>
    <row r="123" spans="1:23" x14ac:dyDescent="0.2">
      <c r="B123" s="41"/>
      <c r="C123" s="30"/>
      <c r="D123" s="42"/>
      <c r="E123" s="30"/>
      <c r="F123" s="30"/>
      <c r="G123" s="30"/>
      <c r="H123" s="30"/>
      <c r="I123" s="30"/>
    </row>
    <row r="124" spans="1:23" x14ac:dyDescent="0.2">
      <c r="B124" s="41"/>
      <c r="C124" s="30"/>
      <c r="D124" s="42"/>
      <c r="E124" s="30"/>
      <c r="F124" s="30"/>
      <c r="G124" s="30"/>
      <c r="H124" s="30"/>
      <c r="I124" s="30"/>
    </row>
    <row r="125" spans="1:23" x14ac:dyDescent="0.2">
      <c r="B125" s="41"/>
      <c r="C125" s="30"/>
      <c r="D125" s="42"/>
      <c r="E125" s="30"/>
      <c r="F125" s="30"/>
      <c r="G125" s="30"/>
      <c r="H125" s="30"/>
      <c r="I125" s="30"/>
    </row>
    <row r="126" spans="1:23" x14ac:dyDescent="0.2">
      <c r="B126" s="41"/>
      <c r="C126" s="30"/>
      <c r="D126" s="42"/>
      <c r="E126" s="30"/>
      <c r="F126" s="30"/>
      <c r="G126" s="30"/>
      <c r="H126" s="30"/>
      <c r="I126" s="30"/>
    </row>
    <row r="127" spans="1:23" x14ac:dyDescent="0.2">
      <c r="B127" s="41"/>
      <c r="C127" s="30"/>
      <c r="D127" s="30"/>
      <c r="E127" s="30"/>
      <c r="F127" s="30"/>
      <c r="G127" s="30"/>
      <c r="H127" s="30"/>
      <c r="I127" s="30"/>
    </row>
    <row r="128" spans="1:23" x14ac:dyDescent="0.2">
      <c r="B128" s="41"/>
      <c r="C128" s="30"/>
      <c r="D128" s="30"/>
      <c r="E128" s="30"/>
      <c r="F128" s="30"/>
      <c r="G128" s="30"/>
      <c r="H128" s="30"/>
      <c r="I128" s="30"/>
    </row>
    <row r="129" spans="2:9" x14ac:dyDescent="0.2">
      <c r="B129" s="41"/>
      <c r="C129" s="30"/>
      <c r="D129" s="30"/>
      <c r="E129" s="30"/>
      <c r="F129" s="30"/>
      <c r="G129" s="30"/>
      <c r="H129" s="30"/>
      <c r="I129" s="30"/>
    </row>
    <row r="130" spans="2:9" x14ac:dyDescent="0.2">
      <c r="B130" s="41"/>
      <c r="C130" s="30"/>
      <c r="D130" s="30"/>
      <c r="E130" s="30"/>
      <c r="F130" s="30"/>
      <c r="G130" s="30"/>
      <c r="H130" s="30"/>
      <c r="I130" s="30"/>
    </row>
    <row r="131" spans="2:9" x14ac:dyDescent="0.2">
      <c r="B131" s="41"/>
      <c r="C131" s="30"/>
      <c r="D131" s="30"/>
      <c r="E131" s="30"/>
      <c r="F131" s="30"/>
      <c r="G131" s="30"/>
      <c r="H131" s="30"/>
      <c r="I131" s="30"/>
    </row>
    <row r="132" spans="2:9" x14ac:dyDescent="0.2">
      <c r="B132" s="41"/>
      <c r="C132" s="30"/>
      <c r="D132" s="30"/>
      <c r="E132" s="30"/>
      <c r="F132" s="30"/>
      <c r="G132" s="30"/>
      <c r="H132" s="30"/>
      <c r="I132" s="30"/>
    </row>
    <row r="133" spans="2:9" x14ac:dyDescent="0.2">
      <c r="B133" s="41"/>
      <c r="C133" s="30"/>
      <c r="D133" s="30"/>
      <c r="E133" s="30"/>
      <c r="F133" s="30"/>
      <c r="G133" s="30"/>
      <c r="H133" s="30"/>
      <c r="I133" s="30"/>
    </row>
    <row r="134" spans="2:9" x14ac:dyDescent="0.2">
      <c r="B134" s="41"/>
      <c r="C134" s="30"/>
      <c r="D134" s="30"/>
      <c r="E134" s="30"/>
      <c r="F134" s="30"/>
      <c r="G134" s="30"/>
      <c r="H134" s="30"/>
      <c r="I134" s="30"/>
    </row>
    <row r="135" spans="2:9" x14ac:dyDescent="0.2">
      <c r="B135" s="41"/>
      <c r="C135" s="30"/>
      <c r="D135" s="30"/>
      <c r="E135" s="30"/>
      <c r="F135" s="30"/>
      <c r="G135" s="30"/>
      <c r="H135" s="30"/>
      <c r="I135" s="30"/>
    </row>
    <row r="136" spans="2:9" x14ac:dyDescent="0.2">
      <c r="B136" s="41"/>
      <c r="C136" s="30"/>
      <c r="D136" s="30"/>
      <c r="E136" s="30"/>
      <c r="F136" s="30"/>
      <c r="G136" s="30"/>
      <c r="H136" s="30"/>
      <c r="I136" s="30"/>
    </row>
    <row r="137" spans="2:9" x14ac:dyDescent="0.2">
      <c r="B137" s="41"/>
      <c r="C137" s="30"/>
      <c r="D137" s="30"/>
      <c r="E137" s="30"/>
      <c r="F137" s="30"/>
      <c r="G137" s="30"/>
      <c r="H137" s="30"/>
      <c r="I137" s="30"/>
    </row>
  </sheetData>
  <sheetProtection password="CAF3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61" workbookViewId="0">
      <selection activeCell="G84" sqref="G84"/>
    </sheetView>
  </sheetViews>
  <sheetFormatPr defaultColWidth="9.125" defaultRowHeight="14.25" x14ac:dyDescent="0.2"/>
  <cols>
    <col min="1" max="1" width="6.375" style="2" customWidth="1"/>
    <col min="2" max="2" width="33.375" style="2" customWidth="1"/>
    <col min="3" max="3" width="13.75" style="2" customWidth="1"/>
    <col min="4" max="6" width="14" style="2" bestFit="1" customWidth="1"/>
    <col min="7" max="7" width="11.625" style="2" bestFit="1" customWidth="1"/>
    <col min="8" max="8" width="9.125" style="2"/>
    <col min="9" max="9" width="12" style="2" customWidth="1"/>
    <col min="10" max="10" width="9.125" style="2"/>
    <col min="11" max="11" width="12.25" style="2" bestFit="1" customWidth="1"/>
    <col min="12" max="16384" width="9.125" style="2"/>
  </cols>
  <sheetData>
    <row r="1" spans="1:6" ht="18" x14ac:dyDescent="0.25">
      <c r="A1" s="6" t="s">
        <v>13</v>
      </c>
    </row>
    <row r="3" spans="1:6" ht="15.75" x14ac:dyDescent="0.25">
      <c r="A3" s="9" t="s">
        <v>0</v>
      </c>
    </row>
    <row r="4" spans="1:6" s="7" customFormat="1" ht="15" x14ac:dyDescent="0.2">
      <c r="C4" s="8" t="s">
        <v>9</v>
      </c>
      <c r="D4" s="12" t="s">
        <v>10</v>
      </c>
      <c r="E4" s="12" t="s">
        <v>11</v>
      </c>
      <c r="F4" s="12" t="s">
        <v>12</v>
      </c>
    </row>
    <row r="6" spans="1:6" ht="15" x14ac:dyDescent="0.25">
      <c r="A6" s="1" t="s">
        <v>1</v>
      </c>
    </row>
    <row r="7" spans="1:6" x14ac:dyDescent="0.2">
      <c r="A7" s="2" t="s">
        <v>5</v>
      </c>
    </row>
    <row r="9" spans="1:6" x14ac:dyDescent="0.2">
      <c r="B9" s="2" t="s">
        <v>49</v>
      </c>
    </row>
    <row r="10" spans="1:6" x14ac:dyDescent="0.2">
      <c r="B10" s="2" t="s">
        <v>50</v>
      </c>
    </row>
    <row r="11" spans="1:6" x14ac:dyDescent="0.2">
      <c r="B11" s="2" t="s">
        <v>51</v>
      </c>
    </row>
    <row r="12" spans="1:6" x14ac:dyDescent="0.2">
      <c r="B12" s="2" t="s">
        <v>52</v>
      </c>
    </row>
    <row r="13" spans="1:6" x14ac:dyDescent="0.2">
      <c r="B13" s="2" t="s">
        <v>53</v>
      </c>
    </row>
    <row r="14" spans="1:6" x14ac:dyDescent="0.2">
      <c r="B14" s="2" t="s">
        <v>54</v>
      </c>
    </row>
    <row r="15" spans="1:6" x14ac:dyDescent="0.2">
      <c r="B15" s="2" t="s">
        <v>55</v>
      </c>
    </row>
    <row r="16" spans="1:6" x14ac:dyDescent="0.2">
      <c r="B16" s="2" t="s">
        <v>56</v>
      </c>
    </row>
    <row r="18" spans="1:7" x14ac:dyDescent="0.2">
      <c r="B18" s="2" t="s">
        <v>25</v>
      </c>
      <c r="C18" s="14">
        <v>131</v>
      </c>
      <c r="D18" s="14">
        <v>49</v>
      </c>
      <c r="E18" s="14">
        <v>115</v>
      </c>
      <c r="F18" s="14">
        <v>100</v>
      </c>
    </row>
    <row r="20" spans="1:7" ht="15" x14ac:dyDescent="0.25">
      <c r="A20" s="1" t="s">
        <v>6</v>
      </c>
    </row>
    <row r="21" spans="1:7" x14ac:dyDescent="0.2">
      <c r="B21" s="2" t="s">
        <v>2</v>
      </c>
      <c r="C21" s="20">
        <v>7.7999999999999996E-3</v>
      </c>
      <c r="D21" s="20">
        <v>0.12</v>
      </c>
      <c r="E21" s="20">
        <v>0.11</v>
      </c>
      <c r="F21" s="20">
        <v>0.01</v>
      </c>
      <c r="G21" s="4">
        <v>845.66</v>
      </c>
    </row>
    <row r="22" spans="1:7" x14ac:dyDescent="0.2">
      <c r="B22" s="2" t="s">
        <v>3</v>
      </c>
      <c r="C22" s="21">
        <v>26</v>
      </c>
      <c r="D22" s="3">
        <v>39</v>
      </c>
      <c r="E22" s="3">
        <v>46</v>
      </c>
      <c r="F22" s="3">
        <v>18.8</v>
      </c>
      <c r="G22" s="4">
        <v>200.39</v>
      </c>
    </row>
    <row r="24" spans="1:7" ht="15" x14ac:dyDescent="0.25">
      <c r="A24" s="1" t="s">
        <v>28</v>
      </c>
      <c r="B24" s="2" t="s">
        <v>29</v>
      </c>
      <c r="C24" s="5">
        <v>2.76E-2</v>
      </c>
      <c r="D24" s="5">
        <v>0</v>
      </c>
      <c r="E24" s="5">
        <v>0</v>
      </c>
      <c r="F24" s="5">
        <v>4.4900000000000002E-2</v>
      </c>
      <c r="G24" s="4">
        <v>446.8</v>
      </c>
    </row>
    <row r="26" spans="1:7" ht="15" x14ac:dyDescent="0.25">
      <c r="A26" s="1" t="s">
        <v>7</v>
      </c>
    </row>
    <row r="27" spans="1:7" x14ac:dyDescent="0.2">
      <c r="B27" s="2" t="s">
        <v>20</v>
      </c>
      <c r="C27" s="5">
        <v>0.31340000000000001</v>
      </c>
      <c r="D27" s="5">
        <v>0.18379999999999999</v>
      </c>
      <c r="E27" s="5">
        <v>0.35070000000000001</v>
      </c>
      <c r="F27" s="5">
        <v>0.3271</v>
      </c>
      <c r="G27" s="4">
        <v>641.44000000000005</v>
      </c>
    </row>
    <row r="29" spans="1:7" ht="15" x14ac:dyDescent="0.25">
      <c r="A29" s="1" t="s">
        <v>8</v>
      </c>
      <c r="C29" s="10"/>
      <c r="D29" s="10"/>
      <c r="E29" s="10"/>
      <c r="F29" s="10"/>
    </row>
    <row r="30" spans="1:7" ht="15" x14ac:dyDescent="0.25">
      <c r="B30" s="2" t="s">
        <v>4</v>
      </c>
      <c r="C30" s="11">
        <v>111026.16</v>
      </c>
      <c r="D30" s="11">
        <v>111026.16</v>
      </c>
      <c r="E30" s="11">
        <v>111026.16</v>
      </c>
      <c r="F30" s="11">
        <v>111026.16</v>
      </c>
      <c r="G30" s="1" t="s">
        <v>30</v>
      </c>
    </row>
    <row r="31" spans="1:7" x14ac:dyDescent="0.2">
      <c r="B31" s="2" t="s">
        <v>14</v>
      </c>
      <c r="C31" s="11">
        <v>5880</v>
      </c>
      <c r="D31" s="11">
        <v>4965</v>
      </c>
      <c r="E31" s="11">
        <f>9037.5+206.25</f>
        <v>9243.75</v>
      </c>
      <c r="F31" s="11">
        <v>10722.75</v>
      </c>
    </row>
    <row r="32" spans="1:7" x14ac:dyDescent="0.2">
      <c r="C32" s="11"/>
      <c r="D32" s="11"/>
      <c r="E32" s="11"/>
      <c r="F32" s="11"/>
    </row>
    <row r="33" spans="1:11" ht="15" x14ac:dyDescent="0.25">
      <c r="A33" s="1" t="s">
        <v>8</v>
      </c>
      <c r="C33" s="11"/>
      <c r="D33" s="11"/>
      <c r="E33" s="11"/>
      <c r="F33" s="11"/>
    </row>
    <row r="34" spans="1:11" x14ac:dyDescent="0.2">
      <c r="B34" s="2" t="s">
        <v>15</v>
      </c>
      <c r="C34" s="11">
        <v>-6361</v>
      </c>
      <c r="D34" s="11">
        <v>12686.84</v>
      </c>
      <c r="E34" s="11">
        <v>-16242.67</v>
      </c>
      <c r="F34" s="11">
        <v>0</v>
      </c>
    </row>
    <row r="35" spans="1:11" x14ac:dyDescent="0.2">
      <c r="C35" s="11"/>
      <c r="D35" s="11"/>
      <c r="E35" s="11"/>
      <c r="F35" s="11"/>
    </row>
    <row r="36" spans="1:11" ht="15" x14ac:dyDescent="0.25">
      <c r="A36" s="1" t="s">
        <v>21</v>
      </c>
      <c r="C36" s="11"/>
      <c r="D36" s="11"/>
      <c r="E36" s="11"/>
      <c r="F36" s="11"/>
    </row>
    <row r="37" spans="1:11" x14ac:dyDescent="0.2">
      <c r="B37" s="2" t="s">
        <v>16</v>
      </c>
      <c r="C37" s="11">
        <v>-2177</v>
      </c>
      <c r="D37" s="11">
        <v>-825.89</v>
      </c>
      <c r="E37" s="11">
        <v>-1705.25</v>
      </c>
      <c r="F37" s="11">
        <v>-1814.66</v>
      </c>
      <c r="H37" s="5"/>
      <c r="I37" s="5"/>
      <c r="J37" s="5"/>
      <c r="K37" s="5"/>
    </row>
    <row r="38" spans="1:11" x14ac:dyDescent="0.2">
      <c r="C38" s="11"/>
      <c r="D38" s="11"/>
      <c r="E38" s="11"/>
      <c r="F38" s="11"/>
    </row>
    <row r="39" spans="1:11" ht="15" x14ac:dyDescent="0.25">
      <c r="A39" s="1" t="s">
        <v>27</v>
      </c>
      <c r="C39" s="11">
        <v>516212</v>
      </c>
      <c r="D39" s="11">
        <v>298731.81</v>
      </c>
      <c r="E39" s="11">
        <v>472811.56</v>
      </c>
      <c r="F39" s="11">
        <v>433912.39</v>
      </c>
      <c r="G39" s="4"/>
    </row>
    <row r="40" spans="1:11" x14ac:dyDescent="0.2">
      <c r="C40" s="4"/>
      <c r="D40" s="4"/>
      <c r="E40" s="4"/>
      <c r="F40" s="4"/>
      <c r="G40" s="4"/>
    </row>
    <row r="41" spans="1:11" ht="15" x14ac:dyDescent="0.25">
      <c r="A41" s="1" t="s">
        <v>17</v>
      </c>
      <c r="C41" s="4"/>
      <c r="D41" s="4"/>
      <c r="E41" s="4"/>
      <c r="F41" s="4"/>
    </row>
    <row r="42" spans="1:11" x14ac:dyDescent="0.2">
      <c r="B42" s="2" t="s">
        <v>18</v>
      </c>
      <c r="C42" s="14">
        <v>21</v>
      </c>
      <c r="D42" s="2">
        <v>14</v>
      </c>
      <c r="E42" s="2">
        <v>21</v>
      </c>
      <c r="F42" s="2">
        <v>12</v>
      </c>
      <c r="G42" s="4">
        <v>1320</v>
      </c>
    </row>
    <row r="43" spans="1:11" x14ac:dyDescent="0.2">
      <c r="B43" s="2" t="s">
        <v>19</v>
      </c>
      <c r="C43" s="22">
        <f>C42/C18</f>
        <v>0.16030534351145037</v>
      </c>
      <c r="D43" s="5">
        <f>D42/D18</f>
        <v>0.2857142857142857</v>
      </c>
      <c r="E43" s="5">
        <f>E42/E18</f>
        <v>0.18260869565217391</v>
      </c>
      <c r="F43" s="5">
        <f>F42/F18</f>
        <v>0.12</v>
      </c>
    </row>
    <row r="45" spans="1:11" ht="15" x14ac:dyDescent="0.25">
      <c r="A45" s="1" t="s">
        <v>23</v>
      </c>
      <c r="C45" s="4"/>
      <c r="D45" s="4"/>
      <c r="E45" s="4"/>
      <c r="F45" s="4"/>
    </row>
    <row r="46" spans="1:11" x14ac:dyDescent="0.2">
      <c r="B46" s="2" t="s">
        <v>24</v>
      </c>
      <c r="C46" s="14">
        <v>130</v>
      </c>
      <c r="D46" s="2">
        <v>40</v>
      </c>
      <c r="E46" s="2">
        <v>120</v>
      </c>
      <c r="F46" s="2">
        <v>103</v>
      </c>
    </row>
    <row r="47" spans="1:11" x14ac:dyDescent="0.2">
      <c r="B47" s="2" t="s">
        <v>4</v>
      </c>
      <c r="C47" s="23">
        <v>4000</v>
      </c>
      <c r="D47" s="4">
        <v>4000</v>
      </c>
      <c r="E47" s="4">
        <v>4000</v>
      </c>
      <c r="F47" s="4">
        <v>4000</v>
      </c>
      <c r="G47" s="4">
        <v>11.25</v>
      </c>
    </row>
    <row r="48" spans="1:11" x14ac:dyDescent="0.2">
      <c r="B48" s="2" t="s">
        <v>22</v>
      </c>
      <c r="C48" s="23">
        <f>C46*11.25</f>
        <v>1462.5</v>
      </c>
      <c r="D48" s="4">
        <f>D46*11.25</f>
        <v>450</v>
      </c>
      <c r="E48" s="4">
        <f>E46*11.25</f>
        <v>1350</v>
      </c>
      <c r="F48" s="4">
        <f>F46*11.25</f>
        <v>1158.75</v>
      </c>
    </row>
    <row r="50" spans="1:12" ht="15" x14ac:dyDescent="0.25">
      <c r="A50" s="1" t="s">
        <v>26</v>
      </c>
      <c r="C50" s="23"/>
      <c r="D50" s="4">
        <v>50735</v>
      </c>
      <c r="E50" s="4">
        <v>83525.48</v>
      </c>
      <c r="F50" s="4">
        <v>41748.120000000003</v>
      </c>
    </row>
    <row r="52" spans="1:12" ht="15.75" x14ac:dyDescent="0.25">
      <c r="A52" s="114" t="s">
        <v>175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" x14ac:dyDescent="0.25">
      <c r="A54" s="115" t="s">
        <v>176</v>
      </c>
      <c r="B54"/>
      <c r="C54"/>
      <c r="D54"/>
      <c r="E54"/>
      <c r="F54"/>
      <c r="G54"/>
      <c r="H54"/>
      <c r="I54"/>
      <c r="J54"/>
      <c r="K54"/>
      <c r="L54"/>
    </row>
    <row r="55" spans="1:12" ht="15.75" thickBot="1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thickBot="1" x14ac:dyDescent="0.3">
      <c r="A56" t="s">
        <v>195</v>
      </c>
      <c r="B56"/>
      <c r="C56"/>
      <c r="D56"/>
      <c r="E56"/>
      <c r="F56"/>
      <c r="G56"/>
      <c r="H56"/>
      <c r="I56" s="116">
        <v>50</v>
      </c>
      <c r="J56"/>
      <c r="K56"/>
      <c r="L56"/>
    </row>
    <row r="57" spans="1:12" ht="15.75" thickBot="1" x14ac:dyDescent="0.3">
      <c r="A57" t="s">
        <v>196</v>
      </c>
      <c r="B57"/>
      <c r="C57"/>
      <c r="D57"/>
      <c r="E57"/>
      <c r="F57"/>
      <c r="G57"/>
      <c r="H57"/>
      <c r="I57" s="117">
        <v>0.50485561343612151</v>
      </c>
      <c r="J57"/>
      <c r="K57"/>
      <c r="L57"/>
    </row>
    <row r="58" spans="1:12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39" x14ac:dyDescent="0.25">
      <c r="A60"/>
      <c r="B60"/>
      <c r="C60"/>
      <c r="D60"/>
      <c r="E60" s="118" t="s">
        <v>177</v>
      </c>
      <c r="F60" s="118"/>
      <c r="G60" s="118" t="s">
        <v>178</v>
      </c>
      <c r="H60" s="118"/>
      <c r="I60" s="118" t="s">
        <v>179</v>
      </c>
      <c r="J60" s="118"/>
      <c r="K60" s="118" t="s">
        <v>180</v>
      </c>
      <c r="L60" s="119"/>
    </row>
    <row r="61" spans="1:12" ht="15" x14ac:dyDescent="0.25">
      <c r="A61"/>
      <c r="B61"/>
      <c r="C61"/>
      <c r="D61"/>
      <c r="E61" s="119" t="s">
        <v>181</v>
      </c>
      <c r="F61" s="119"/>
      <c r="G61" s="119" t="s">
        <v>182</v>
      </c>
      <c r="H61" s="119"/>
      <c r="I61" s="119" t="s">
        <v>183</v>
      </c>
      <c r="J61" s="119"/>
      <c r="K61" s="119" t="s">
        <v>184</v>
      </c>
      <c r="L61" s="119"/>
    </row>
    <row r="62" spans="1:12" x14ac:dyDescent="0.2">
      <c r="A62" s="115"/>
      <c r="B62" s="115"/>
      <c r="C62" s="115"/>
      <c r="D62" s="115"/>
      <c r="E62" s="120" t="s">
        <v>185</v>
      </c>
      <c r="F62" s="120"/>
      <c r="G62" s="120" t="s">
        <v>186</v>
      </c>
      <c r="H62" s="120"/>
      <c r="I62" s="120" t="s">
        <v>187</v>
      </c>
      <c r="J62" s="121"/>
      <c r="K62" s="121"/>
      <c r="L62" s="115"/>
    </row>
    <row r="63" spans="1:12" ht="15" x14ac:dyDescent="0.25">
      <c r="A63" s="122" t="s">
        <v>188</v>
      </c>
      <c r="B63"/>
      <c r="C63"/>
      <c r="D63"/>
      <c r="E63"/>
      <c r="F63" s="123"/>
      <c r="G63"/>
      <c r="H63"/>
      <c r="I63"/>
      <c r="J63"/>
      <c r="K63"/>
      <c r="L63"/>
    </row>
    <row r="64" spans="1:12" ht="15" x14ac:dyDescent="0.25">
      <c r="A64" t="s">
        <v>189</v>
      </c>
      <c r="B64"/>
      <c r="C64"/>
      <c r="D64"/>
      <c r="E64" s="124">
        <v>50</v>
      </c>
      <c r="F64" s="125"/>
      <c r="G64" s="124">
        <v>50</v>
      </c>
      <c r="H64" s="125"/>
      <c r="I64" s="124">
        <v>50</v>
      </c>
      <c r="J64"/>
      <c r="K64"/>
      <c r="L64"/>
    </row>
    <row r="65" spans="1:12" ht="15" x14ac:dyDescent="0.25">
      <c r="A65" t="s">
        <v>190</v>
      </c>
      <c r="B65"/>
      <c r="C65"/>
      <c r="D65"/>
      <c r="E65" s="124">
        <v>9750</v>
      </c>
      <c r="F65" s="125"/>
      <c r="G65" s="124">
        <v>10500</v>
      </c>
      <c r="H65" s="125"/>
      <c r="I65" s="124">
        <v>8250</v>
      </c>
      <c r="J65"/>
      <c r="K65"/>
      <c r="L65"/>
    </row>
    <row r="66" spans="1:12" ht="15" x14ac:dyDescent="0.25">
      <c r="A66" t="s">
        <v>191</v>
      </c>
      <c r="B66"/>
      <c r="C66"/>
      <c r="D66"/>
      <c r="E66" s="126">
        <v>3.27</v>
      </c>
      <c r="F66" s="127"/>
      <c r="G66" s="126">
        <v>3.27</v>
      </c>
      <c r="H66" s="127"/>
      <c r="I66" s="126">
        <v>3.27</v>
      </c>
      <c r="J66"/>
      <c r="K66"/>
      <c r="L66"/>
    </row>
    <row r="67" spans="1:12" ht="15" x14ac:dyDescent="0.25">
      <c r="A67" t="s">
        <v>192</v>
      </c>
      <c r="B67"/>
      <c r="C67"/>
      <c r="D67"/>
      <c r="E67" s="126">
        <v>0.9</v>
      </c>
      <c r="F67" s="127"/>
      <c r="G67" s="126">
        <v>0.9</v>
      </c>
      <c r="H67" s="127"/>
      <c r="I67" s="126">
        <v>0.9</v>
      </c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 t="s">
        <v>193</v>
      </c>
      <c r="B69"/>
      <c r="C69"/>
      <c r="D69"/>
      <c r="E69" s="128">
        <f>E65*E66</f>
        <v>31882.5</v>
      </c>
      <c r="F69" s="129"/>
      <c r="G69" s="128">
        <f>G65*G66</f>
        <v>34335</v>
      </c>
      <c r="H69" s="129"/>
      <c r="I69" s="128">
        <f>I65*I66</f>
        <v>26977.5</v>
      </c>
      <c r="J69"/>
      <c r="K69"/>
      <c r="L69"/>
    </row>
    <row r="70" spans="1:12" ht="15" x14ac:dyDescent="0.25">
      <c r="A70"/>
      <c r="B70"/>
      <c r="C70"/>
      <c r="D70"/>
      <c r="E70" s="129"/>
      <c r="F70" s="129"/>
      <c r="G70" s="129"/>
      <c r="H70" s="129"/>
      <c r="I70" s="129"/>
      <c r="J70"/>
      <c r="K70"/>
      <c r="L70"/>
    </row>
    <row r="71" spans="1:12" ht="15" x14ac:dyDescent="0.25">
      <c r="A71" t="s">
        <v>6</v>
      </c>
      <c r="B71"/>
      <c r="C71"/>
      <c r="D71"/>
      <c r="E71" s="128">
        <f>E64*E67*15*13*$I$11</f>
        <v>0</v>
      </c>
      <c r="F71" s="129"/>
      <c r="G71" s="128">
        <f>G64*G67*15*14*$I$11</f>
        <v>0</v>
      </c>
      <c r="H71" s="129"/>
      <c r="I71" s="128">
        <f>I64*I67*15*11*$I$11</f>
        <v>0</v>
      </c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thickBot="1" x14ac:dyDescent="0.25">
      <c r="A73" s="115" t="s">
        <v>194</v>
      </c>
      <c r="B73" s="115"/>
      <c r="C73" s="115"/>
      <c r="D73" s="115"/>
      <c r="E73" s="130">
        <f>SUM(E69:E72)</f>
        <v>31882.5</v>
      </c>
      <c r="F73" s="131"/>
      <c r="G73" s="130">
        <f>SUM(G69:G72)</f>
        <v>34335</v>
      </c>
      <c r="H73" s="131"/>
      <c r="I73" s="130">
        <f>SUM(I69:I72)</f>
        <v>26977.5</v>
      </c>
      <c r="J73" s="131"/>
      <c r="K73" s="130">
        <v>106144.54648463651</v>
      </c>
      <c r="L73" s="132"/>
    </row>
    <row r="74" spans="1:12" ht="15" thickTop="1" x14ac:dyDescent="0.2"/>
    <row r="75" spans="1:12" x14ac:dyDescent="0.2">
      <c r="E75" s="2" t="s">
        <v>197</v>
      </c>
      <c r="G75" s="3">
        <f>K73/E64</f>
        <v>2122.89092969273</v>
      </c>
    </row>
  </sheetData>
  <sheetProtection password="C933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63" workbookViewId="0">
      <selection activeCell="E79" sqref="E79"/>
    </sheetView>
  </sheetViews>
  <sheetFormatPr defaultColWidth="9.125" defaultRowHeight="14.25" x14ac:dyDescent="0.2"/>
  <cols>
    <col min="1" max="1" width="6.375" style="2" customWidth="1"/>
    <col min="2" max="2" width="37.125" style="2" bestFit="1" customWidth="1"/>
    <col min="3" max="3" width="13.75" style="2" customWidth="1"/>
    <col min="4" max="7" width="14" style="2" bestFit="1" customWidth="1"/>
    <col min="8" max="10" width="10.375" style="2" bestFit="1" customWidth="1"/>
    <col min="11" max="16384" width="9.125" style="2"/>
  </cols>
  <sheetData>
    <row r="1" spans="1:12" ht="18" x14ac:dyDescent="0.25">
      <c r="A1" s="6" t="s">
        <v>13</v>
      </c>
    </row>
    <row r="3" spans="1:12" ht="15.75" x14ac:dyDescent="0.25">
      <c r="A3" s="9" t="s">
        <v>165</v>
      </c>
    </row>
    <row r="4" spans="1:12" s="7" customFormat="1" ht="15" x14ac:dyDescent="0.2">
      <c r="C4" s="8" t="s">
        <v>9</v>
      </c>
      <c r="D4" s="13" t="s">
        <v>10</v>
      </c>
      <c r="E4" s="13" t="s">
        <v>11</v>
      </c>
      <c r="F4" s="13" t="s">
        <v>12</v>
      </c>
    </row>
    <row r="6" spans="1:12" ht="15" x14ac:dyDescent="0.25">
      <c r="A6" s="1" t="s">
        <v>58</v>
      </c>
      <c r="B6" s="1"/>
      <c r="C6" s="45">
        <f>'Funding Base Data'!C18</f>
        <v>131</v>
      </c>
      <c r="D6" s="1">
        <f>'Funding Base Data'!D18</f>
        <v>49</v>
      </c>
      <c r="E6" s="1">
        <f>'Funding Base Data'!E18</f>
        <v>115</v>
      </c>
      <c r="F6" s="1">
        <f>'Funding Base Data'!F18</f>
        <v>100</v>
      </c>
    </row>
    <row r="8" spans="1:12" x14ac:dyDescent="0.2">
      <c r="A8" s="39" t="s">
        <v>98</v>
      </c>
      <c r="C8" s="26"/>
      <c r="D8" s="26"/>
      <c r="E8" s="26"/>
      <c r="F8" s="26"/>
    </row>
    <row r="9" spans="1:12" x14ac:dyDescent="0.2">
      <c r="A9" s="40" t="s">
        <v>166</v>
      </c>
      <c r="C9" s="97">
        <f>11500+8765-4000</f>
        <v>16265</v>
      </c>
      <c r="D9" s="97">
        <v>18000</v>
      </c>
      <c r="E9" s="97">
        <f>24000+6837-20530</f>
        <v>10307</v>
      </c>
      <c r="F9" s="97">
        <f>13000+5000</f>
        <v>18000</v>
      </c>
      <c r="G9" s="44">
        <f>C9/('Staffing Base Data'!C15-1)</f>
        <v>3092.2053231939167</v>
      </c>
      <c r="H9" s="44">
        <f>D9/('Staffing Base Data'!D15-1)</f>
        <v>5625</v>
      </c>
      <c r="I9" s="44">
        <f>E9/('Staffing Base Data'!E15-1)</f>
        <v>2057.2854291417166</v>
      </c>
      <c r="J9" s="44">
        <f>F9/('Staffing Base Data'!F15-1)</f>
        <v>4316.5467625899282</v>
      </c>
      <c r="K9" s="2">
        <f>SUM(G9:J9)/4</f>
        <v>3772.7593787313908</v>
      </c>
      <c r="L9" s="2" t="s">
        <v>160</v>
      </c>
    </row>
    <row r="10" spans="1:12" x14ac:dyDescent="0.2">
      <c r="A10" s="40" t="s">
        <v>115</v>
      </c>
      <c r="C10" s="27">
        <v>0</v>
      </c>
      <c r="D10" s="27">
        <v>0</v>
      </c>
      <c r="E10" s="27">
        <v>0</v>
      </c>
      <c r="F10" s="27">
        <v>0</v>
      </c>
    </row>
    <row r="11" spans="1:12" x14ac:dyDescent="0.2">
      <c r="A11" s="40" t="s">
        <v>116</v>
      </c>
      <c r="C11" s="26">
        <v>500</v>
      </c>
      <c r="D11" s="26">
        <v>500</v>
      </c>
      <c r="E11" s="26">
        <v>500</v>
      </c>
      <c r="F11" s="26">
        <v>500</v>
      </c>
    </row>
    <row r="12" spans="1:12" x14ac:dyDescent="0.2">
      <c r="A12" s="40"/>
      <c r="C12" s="26"/>
      <c r="D12" s="26"/>
      <c r="E12" s="26"/>
      <c r="F12" s="26"/>
    </row>
    <row r="13" spans="1:12" ht="15.75" thickBot="1" x14ac:dyDescent="0.3">
      <c r="A13" s="39" t="s">
        <v>133</v>
      </c>
      <c r="C13" s="98">
        <f>SUM(C9:C12)</f>
        <v>16765</v>
      </c>
      <c r="D13" s="98">
        <f>SUM(D9:D12)</f>
        <v>18500</v>
      </c>
      <c r="E13" s="98">
        <f>SUM(E9:E12)</f>
        <v>10807</v>
      </c>
      <c r="F13" s="98">
        <f>SUM(F9:F12)</f>
        <v>18500</v>
      </c>
    </row>
    <row r="14" spans="1:12" x14ac:dyDescent="0.2">
      <c r="A14" s="40"/>
      <c r="C14" s="26"/>
      <c r="D14" s="26"/>
      <c r="E14" s="26"/>
      <c r="F14" s="26"/>
    </row>
    <row r="15" spans="1:12" x14ac:dyDescent="0.2">
      <c r="A15" s="39" t="s">
        <v>167</v>
      </c>
      <c r="C15" s="26"/>
      <c r="D15" s="26"/>
      <c r="E15" s="26"/>
      <c r="F15" s="26"/>
    </row>
    <row r="16" spans="1:12" x14ac:dyDescent="0.2">
      <c r="A16" s="40" t="s">
        <v>117</v>
      </c>
      <c r="C16" s="26">
        <v>0</v>
      </c>
      <c r="D16" s="26">
        <v>0</v>
      </c>
      <c r="E16" s="26">
        <v>0</v>
      </c>
      <c r="F16" s="26">
        <v>0</v>
      </c>
    </row>
    <row r="17" spans="1:12" x14ac:dyDescent="0.2">
      <c r="A17" s="40" t="s">
        <v>118</v>
      </c>
      <c r="C17" s="26">
        <v>0</v>
      </c>
      <c r="D17" s="26">
        <v>0</v>
      </c>
      <c r="E17" s="26">
        <v>0</v>
      </c>
      <c r="F17" s="26">
        <v>0</v>
      </c>
    </row>
    <row r="18" spans="1:12" x14ac:dyDescent="0.2">
      <c r="A18" s="40"/>
      <c r="C18" s="26"/>
      <c r="D18" s="26"/>
      <c r="E18" s="26"/>
      <c r="F18" s="26"/>
    </row>
    <row r="19" spans="1:12" ht="15.75" thickBot="1" x14ac:dyDescent="0.3">
      <c r="A19" s="39" t="s">
        <v>158</v>
      </c>
      <c r="C19" s="98">
        <f>SUM(C16:C18)</f>
        <v>0</v>
      </c>
      <c r="D19" s="98">
        <f>SUM(D16:D18)</f>
        <v>0</v>
      </c>
      <c r="E19" s="98">
        <f>SUM(E16:E18)</f>
        <v>0</v>
      </c>
      <c r="F19" s="98">
        <f>SUM(F16:F18)</f>
        <v>0</v>
      </c>
    </row>
    <row r="20" spans="1:12" x14ac:dyDescent="0.2">
      <c r="A20" s="40"/>
      <c r="C20" s="26"/>
      <c r="D20" s="26"/>
      <c r="E20" s="26"/>
      <c r="F20" s="26"/>
      <c r="G20" s="17"/>
    </row>
    <row r="21" spans="1:12" x14ac:dyDescent="0.2">
      <c r="A21" s="39" t="s">
        <v>99</v>
      </c>
      <c r="C21" s="26"/>
      <c r="D21" s="26"/>
      <c r="E21" s="26"/>
      <c r="F21" s="26"/>
    </row>
    <row r="22" spans="1:12" x14ac:dyDescent="0.2">
      <c r="A22" s="40" t="s">
        <v>134</v>
      </c>
      <c r="C22" s="26">
        <f>6000+4080</f>
        <v>10080</v>
      </c>
      <c r="D22" s="26">
        <v>3000</v>
      </c>
      <c r="E22" s="26">
        <v>4000</v>
      </c>
      <c r="F22" s="26">
        <v>2000</v>
      </c>
      <c r="G22" s="2">
        <f>C22/'Staffing Base Data'!C15</f>
        <v>1610.223642172524</v>
      </c>
      <c r="H22" s="2">
        <f>D22/'Staffing Base Data'!D15</f>
        <v>714.28571428571422</v>
      </c>
      <c r="I22" s="2">
        <f>E22/'Staffing Base Data'!E15</f>
        <v>665.55740432612311</v>
      </c>
      <c r="J22" s="2">
        <f>F22/'Staffing Base Data'!F15</f>
        <v>386.84719535783364</v>
      </c>
      <c r="K22" s="2">
        <f>SUM(G22:J22)/4</f>
        <v>844.22848903554882</v>
      </c>
      <c r="L22" s="2" t="s">
        <v>160</v>
      </c>
    </row>
    <row r="23" spans="1:12" x14ac:dyDescent="0.2">
      <c r="A23" s="40" t="s">
        <v>135</v>
      </c>
      <c r="C23" s="27">
        <v>3000</v>
      </c>
      <c r="D23" s="26">
        <v>2000</v>
      </c>
      <c r="E23" s="26">
        <v>2000</v>
      </c>
      <c r="F23" s="26">
        <v>2000</v>
      </c>
      <c r="G23" s="2">
        <f>C23/'Staffing Base Data'!C15</f>
        <v>479.23322683706073</v>
      </c>
      <c r="H23" s="2">
        <f>D23/'Staffing Base Data'!D15</f>
        <v>476.19047619047615</v>
      </c>
      <c r="I23" s="2">
        <f>E23/'Staffing Base Data'!E15</f>
        <v>332.77870216306155</v>
      </c>
      <c r="J23" s="2">
        <f>F23/'Staffing Base Data'!F15</f>
        <v>386.84719535783364</v>
      </c>
      <c r="K23" s="2">
        <f>SUM(G23:J23)/4</f>
        <v>418.76240013710805</v>
      </c>
      <c r="L23" s="2" t="s">
        <v>160</v>
      </c>
    </row>
    <row r="24" spans="1:12" x14ac:dyDescent="0.2">
      <c r="A24" s="40"/>
      <c r="C24" s="26"/>
      <c r="D24" s="26"/>
      <c r="E24" s="26"/>
      <c r="F24" s="26"/>
    </row>
    <row r="25" spans="1:12" ht="15.75" thickBot="1" x14ac:dyDescent="0.3">
      <c r="A25" s="39" t="s">
        <v>141</v>
      </c>
      <c r="C25" s="98">
        <f>SUM(C22:C24)</f>
        <v>13080</v>
      </c>
      <c r="D25" s="98">
        <f>SUM(D22:D24)</f>
        <v>5000</v>
      </c>
      <c r="E25" s="98">
        <f>SUM(E22:E24)</f>
        <v>6000</v>
      </c>
      <c r="F25" s="98">
        <f>SUM(F22:F24)</f>
        <v>4000</v>
      </c>
    </row>
    <row r="26" spans="1:12" x14ac:dyDescent="0.2">
      <c r="A26" s="40"/>
      <c r="C26" s="26"/>
      <c r="D26" s="26"/>
      <c r="E26" s="26"/>
      <c r="F26" s="26"/>
    </row>
    <row r="27" spans="1:12" x14ac:dyDescent="0.2">
      <c r="A27" s="39" t="s">
        <v>100</v>
      </c>
      <c r="C27" s="26"/>
      <c r="D27" s="26"/>
      <c r="E27" s="26"/>
      <c r="F27" s="26"/>
    </row>
    <row r="28" spans="1:12" x14ac:dyDescent="0.2">
      <c r="A28" s="40" t="s">
        <v>136</v>
      </c>
      <c r="C28" s="26">
        <f>250+450+150+950+2900+950+500+750+1050+700</f>
        <v>8650</v>
      </c>
      <c r="D28" s="26">
        <f>15000+3000</f>
        <v>18000</v>
      </c>
      <c r="E28" s="26">
        <f>50+350+100+350+1970+310+550+1600</f>
        <v>5280</v>
      </c>
      <c r="F28" s="26">
        <f>12000+1320</f>
        <v>13320</v>
      </c>
      <c r="G28" s="99">
        <f>C28/C6</f>
        <v>66.030534351145036</v>
      </c>
      <c r="H28" s="99">
        <f t="shared" ref="H28:J28" si="0">D28/D6</f>
        <v>367.34693877551018</v>
      </c>
      <c r="I28" s="99">
        <f t="shared" si="0"/>
        <v>45.913043478260867</v>
      </c>
      <c r="J28" s="99">
        <f t="shared" si="0"/>
        <v>133.19999999999999</v>
      </c>
      <c r="K28" s="2">
        <f>SUM(G28:J28)/4</f>
        <v>153.12262915122903</v>
      </c>
      <c r="L28" s="2" t="s">
        <v>160</v>
      </c>
    </row>
    <row r="29" spans="1:12" x14ac:dyDescent="0.2">
      <c r="A29" s="40" t="s">
        <v>137</v>
      </c>
      <c r="C29" s="26">
        <v>4000</v>
      </c>
      <c r="D29" s="26">
        <f>3000</f>
        <v>3000</v>
      </c>
      <c r="E29" s="26">
        <v>5500</v>
      </c>
      <c r="F29" s="26">
        <v>3000</v>
      </c>
      <c r="G29" s="99">
        <f>C29/C6</f>
        <v>30.534351145038169</v>
      </c>
      <c r="H29" s="99">
        <f t="shared" ref="H29:J29" si="1">D29/D6</f>
        <v>61.224489795918366</v>
      </c>
      <c r="I29" s="99">
        <f t="shared" si="1"/>
        <v>47.826086956521742</v>
      </c>
      <c r="J29" s="99">
        <f t="shared" si="1"/>
        <v>30</v>
      </c>
      <c r="K29" s="2">
        <f>SUM(G29:J29)/4</f>
        <v>42.39623197436957</v>
      </c>
      <c r="L29" s="2" t="s">
        <v>160</v>
      </c>
    </row>
    <row r="30" spans="1:12" x14ac:dyDescent="0.2">
      <c r="A30" s="40"/>
      <c r="C30" s="26"/>
      <c r="D30" s="26"/>
      <c r="E30" s="26"/>
      <c r="F30" s="26"/>
    </row>
    <row r="31" spans="1:12" ht="15" x14ac:dyDescent="0.25">
      <c r="A31" s="39" t="s">
        <v>142</v>
      </c>
      <c r="C31" s="24">
        <f>SUM(C28:C30)</f>
        <v>12650</v>
      </c>
      <c r="D31" s="24">
        <f>SUM(D28:D30)</f>
        <v>21000</v>
      </c>
      <c r="E31" s="24">
        <f>SUM(E28:E30)</f>
        <v>10780</v>
      </c>
      <c r="F31" s="24">
        <f>SUM(F28:F30)</f>
        <v>16320</v>
      </c>
    </row>
    <row r="32" spans="1:12" x14ac:dyDescent="0.2">
      <c r="A32" s="40"/>
      <c r="C32" s="26"/>
      <c r="D32" s="26"/>
      <c r="E32" s="26"/>
      <c r="F32" s="26"/>
    </row>
    <row r="33" spans="1:12" x14ac:dyDescent="0.2">
      <c r="A33" s="39" t="s">
        <v>101</v>
      </c>
      <c r="C33" s="26"/>
      <c r="D33" s="26"/>
      <c r="E33" s="26"/>
      <c r="F33" s="26"/>
    </row>
    <row r="34" spans="1:12" x14ac:dyDescent="0.2">
      <c r="A34" s="40" t="s">
        <v>138</v>
      </c>
      <c r="C34" s="26">
        <v>9500</v>
      </c>
      <c r="D34" s="26">
        <f>5000+700</f>
        <v>5700</v>
      </c>
      <c r="E34" s="26">
        <v>10000</v>
      </c>
      <c r="F34" s="26">
        <v>7500</v>
      </c>
      <c r="G34" s="99">
        <f>C34/C76</f>
        <v>4.324580231205716</v>
      </c>
      <c r="H34" s="99">
        <f t="shared" ref="H34:J34" si="2">D34/D76</f>
        <v>8.467689821094055</v>
      </c>
      <c r="I34" s="99">
        <f t="shared" si="2"/>
        <v>10.231236168647605</v>
      </c>
      <c r="J34" s="99">
        <f t="shared" si="2"/>
        <v>11.053094645438829</v>
      </c>
      <c r="K34" s="2">
        <f>SUM(G34:J34)/4</f>
        <v>8.5191502165965503</v>
      </c>
      <c r="L34" s="2" t="s">
        <v>160</v>
      </c>
    </row>
    <row r="35" spans="1:12" x14ac:dyDescent="0.2">
      <c r="A35" s="40" t="s">
        <v>119</v>
      </c>
      <c r="C35" s="27">
        <f>'Funding Base Data'!C31</f>
        <v>5880</v>
      </c>
      <c r="D35" s="27">
        <f>'Funding Base Data'!D31</f>
        <v>4965</v>
      </c>
      <c r="E35" s="27">
        <f>'Funding Base Data'!E31</f>
        <v>9243.75</v>
      </c>
      <c r="F35" s="27">
        <f>'Funding Base Data'!F31</f>
        <v>10722.75</v>
      </c>
    </row>
    <row r="36" spans="1:12" x14ac:dyDescent="0.2">
      <c r="A36" s="40" t="s">
        <v>156</v>
      </c>
      <c r="C36" s="27"/>
      <c r="D36" s="27"/>
      <c r="E36" s="27"/>
      <c r="F36" s="27"/>
    </row>
    <row r="37" spans="1:12" x14ac:dyDescent="0.2">
      <c r="A37" s="40" t="s">
        <v>139</v>
      </c>
      <c r="C37" s="26">
        <f>7950+11100+500+2200</f>
        <v>21750</v>
      </c>
      <c r="D37" s="26">
        <f>1300+12500+12000</f>
        <v>25800</v>
      </c>
      <c r="E37" s="26">
        <f>8500+1300+500+1800</f>
        <v>12100</v>
      </c>
      <c r="F37" s="26">
        <f>10000+1000+1400+2000+2700</f>
        <v>17100</v>
      </c>
      <c r="G37" s="99">
        <f>C37/C76</f>
        <v>9.9010126346025604</v>
      </c>
      <c r="H37" s="99">
        <f t="shared" ref="H37:J37" si="3">D37/D76</f>
        <v>38.327438137583613</v>
      </c>
      <c r="I37" s="99">
        <f t="shared" si="3"/>
        <v>12.379795764063601</v>
      </c>
      <c r="J37" s="99">
        <f t="shared" si="3"/>
        <v>25.201055791600531</v>
      </c>
      <c r="K37" s="2">
        <f>SUM(G37:J37)/4</f>
        <v>21.452325581962576</v>
      </c>
      <c r="L37" s="2" t="s">
        <v>160</v>
      </c>
    </row>
    <row r="38" spans="1:12" ht="15" x14ac:dyDescent="0.25">
      <c r="A38" s="40"/>
      <c r="C38" s="26"/>
      <c r="D38" s="26"/>
      <c r="E38" s="26"/>
      <c r="F38" s="26"/>
      <c r="G38" s="1"/>
    </row>
    <row r="39" spans="1:12" ht="15" x14ac:dyDescent="0.25">
      <c r="A39" s="39" t="s">
        <v>140</v>
      </c>
      <c r="C39" s="24">
        <f>SUM(C34:C38)</f>
        <v>37130</v>
      </c>
      <c r="D39" s="24">
        <f>SUM(D34:D38)</f>
        <v>36465</v>
      </c>
      <c r="E39" s="24">
        <f>SUM(E34:E38)</f>
        <v>31343.75</v>
      </c>
      <c r="F39" s="24">
        <f>SUM(F34:F38)</f>
        <v>35322.75</v>
      </c>
    </row>
    <row r="40" spans="1:12" x14ac:dyDescent="0.2">
      <c r="A40" s="40"/>
      <c r="C40" s="26"/>
      <c r="D40" s="26"/>
      <c r="E40" s="26"/>
      <c r="F40" s="26"/>
    </row>
    <row r="41" spans="1:12" x14ac:dyDescent="0.2">
      <c r="A41" s="39" t="s">
        <v>102</v>
      </c>
      <c r="C41" s="26"/>
      <c r="D41" s="26"/>
      <c r="E41" s="26"/>
      <c r="F41" s="26"/>
    </row>
    <row r="42" spans="1:12" x14ac:dyDescent="0.2">
      <c r="A42" s="40" t="s">
        <v>120</v>
      </c>
      <c r="C42" s="26">
        <v>11000</v>
      </c>
      <c r="D42" s="26">
        <v>3155</v>
      </c>
      <c r="E42" s="26">
        <v>25597</v>
      </c>
      <c r="F42" s="26">
        <v>6000</v>
      </c>
      <c r="G42" s="99">
        <f>C42/C6</f>
        <v>83.969465648854964</v>
      </c>
      <c r="H42" s="99">
        <f t="shared" ref="H42:J42" si="4">D42/D6</f>
        <v>64.387755102040813</v>
      </c>
      <c r="I42" s="99">
        <f t="shared" si="4"/>
        <v>222.58260869565217</v>
      </c>
      <c r="J42" s="99">
        <f t="shared" si="4"/>
        <v>60</v>
      </c>
      <c r="K42" s="2">
        <f>SUM(G42:J42)/4</f>
        <v>107.73495736163699</v>
      </c>
      <c r="L42" s="2" t="s">
        <v>160</v>
      </c>
    </row>
    <row r="43" spans="1:12" x14ac:dyDescent="0.2">
      <c r="A43" s="40" t="s">
        <v>121</v>
      </c>
      <c r="C43" s="27"/>
      <c r="D43" s="27"/>
      <c r="E43" s="27"/>
      <c r="F43" s="27"/>
    </row>
    <row r="44" spans="1:12" x14ac:dyDescent="0.2">
      <c r="A44" s="40" t="s">
        <v>168</v>
      </c>
      <c r="C44" s="26">
        <v>24472</v>
      </c>
      <c r="D44" s="26">
        <f>12000-8404</f>
        <v>3596</v>
      </c>
      <c r="E44" s="26">
        <f>7000+12500</f>
        <v>19500</v>
      </c>
      <c r="F44" s="26">
        <v>15000</v>
      </c>
      <c r="G44" s="99">
        <f>C44/C6</f>
        <v>186.80916030534351</v>
      </c>
      <c r="H44" s="99">
        <f t="shared" ref="H44:J44" si="5">D44/D6</f>
        <v>73.387755102040813</v>
      </c>
      <c r="I44" s="99">
        <f t="shared" si="5"/>
        <v>169.56521739130434</v>
      </c>
      <c r="J44" s="99">
        <f t="shared" si="5"/>
        <v>150</v>
      </c>
      <c r="K44" s="2">
        <f>SUM(G44:J44)/4</f>
        <v>144.94053319967216</v>
      </c>
      <c r="L44" s="2" t="s">
        <v>160</v>
      </c>
    </row>
    <row r="45" spans="1:12" x14ac:dyDescent="0.2">
      <c r="A45" s="40" t="s">
        <v>143</v>
      </c>
      <c r="C45" s="26">
        <f>7000+6000+4000</f>
        <v>17000</v>
      </c>
      <c r="D45" s="26">
        <f>3000+2000</f>
        <v>5000</v>
      </c>
      <c r="E45" s="26">
        <f>8862+8500</f>
        <v>17362</v>
      </c>
      <c r="F45" s="26">
        <v>12150</v>
      </c>
      <c r="G45" s="99">
        <f>C45/C6</f>
        <v>129.7709923664122</v>
      </c>
      <c r="H45" s="99">
        <f t="shared" ref="H45:J45" si="6">D45/D6</f>
        <v>102.04081632653062</v>
      </c>
      <c r="I45" s="99">
        <f t="shared" si="6"/>
        <v>150.97391304347826</v>
      </c>
      <c r="J45" s="99">
        <f t="shared" si="6"/>
        <v>121.5</v>
      </c>
      <c r="K45" s="2">
        <f>SUM(G45:J45)/4</f>
        <v>126.07143043410527</v>
      </c>
      <c r="L45" s="2" t="s">
        <v>160</v>
      </c>
    </row>
    <row r="46" spans="1:12" x14ac:dyDescent="0.2">
      <c r="A46" s="40"/>
      <c r="C46" s="26"/>
      <c r="D46" s="26"/>
      <c r="E46" s="26"/>
      <c r="F46" s="26"/>
    </row>
    <row r="47" spans="1:12" ht="15.75" thickBot="1" x14ac:dyDescent="0.3">
      <c r="A47" s="39" t="s">
        <v>144</v>
      </c>
      <c r="C47" s="98">
        <f>SUM(C42:C46)</f>
        <v>52472</v>
      </c>
      <c r="D47" s="98">
        <f>SUM(D42:D46)</f>
        <v>11751</v>
      </c>
      <c r="E47" s="98">
        <f>SUM(E42:E46)</f>
        <v>62459</v>
      </c>
      <c r="F47" s="98">
        <f>SUM(F42:F46)</f>
        <v>33150</v>
      </c>
      <c r="G47" s="4"/>
    </row>
    <row r="48" spans="1:12" x14ac:dyDescent="0.2">
      <c r="A48" s="40"/>
      <c r="C48" s="26"/>
      <c r="D48" s="26"/>
      <c r="E48" s="26"/>
      <c r="F48" s="26"/>
      <c r="G48" s="4"/>
    </row>
    <row r="49" spans="1:12" x14ac:dyDescent="0.2">
      <c r="A49" s="39" t="s">
        <v>103</v>
      </c>
      <c r="C49" s="26"/>
      <c r="D49" s="26"/>
      <c r="E49" s="26"/>
      <c r="F49" s="26"/>
    </row>
    <row r="50" spans="1:12" x14ac:dyDescent="0.2">
      <c r="A50" s="40" t="s">
        <v>145</v>
      </c>
      <c r="C50" s="26">
        <v>1562</v>
      </c>
      <c r="D50" s="26">
        <v>1082</v>
      </c>
      <c r="E50" s="26">
        <v>1562</v>
      </c>
      <c r="F50" s="26">
        <v>1562</v>
      </c>
      <c r="G50" s="99" t="s">
        <v>171</v>
      </c>
      <c r="H50" s="99">
        <f>D50</f>
        <v>1082</v>
      </c>
      <c r="I50" s="99" t="s">
        <v>172</v>
      </c>
      <c r="J50" s="99">
        <f>F50</f>
        <v>1562</v>
      </c>
    </row>
    <row r="51" spans="1:12" x14ac:dyDescent="0.2">
      <c r="A51" s="40" t="s">
        <v>146</v>
      </c>
      <c r="C51" s="26">
        <v>5750</v>
      </c>
      <c r="D51" s="26">
        <f>3930</f>
        <v>3930</v>
      </c>
      <c r="E51" s="26">
        <f>7000</f>
        <v>7000</v>
      </c>
      <c r="F51" s="26">
        <v>5674</v>
      </c>
      <c r="G51" s="99">
        <f t="shared" ref="G51:G53" si="7">C51/C$6</f>
        <v>43.893129770992367</v>
      </c>
      <c r="H51" s="99">
        <f t="shared" ref="H51:J53" si="8">D51/D$6</f>
        <v>80.204081632653057</v>
      </c>
      <c r="I51" s="99">
        <f t="shared" si="8"/>
        <v>60.869565217391305</v>
      </c>
      <c r="J51" s="99">
        <f t="shared" si="8"/>
        <v>56.74</v>
      </c>
      <c r="K51" s="2">
        <f t="shared" ref="K51:K53" si="9">SUM(G51:J51)/4</f>
        <v>60.426694155259185</v>
      </c>
      <c r="L51" s="2" t="s">
        <v>160</v>
      </c>
    </row>
    <row r="52" spans="1:12" x14ac:dyDescent="0.2">
      <c r="A52" s="40" t="s">
        <v>123</v>
      </c>
      <c r="C52" s="26">
        <v>4037</v>
      </c>
      <c r="D52" s="26">
        <f>2165+631</f>
        <v>2796</v>
      </c>
      <c r="E52" s="26">
        <v>4037</v>
      </c>
      <c r="F52" s="26">
        <v>4037</v>
      </c>
      <c r="G52" s="99" t="s">
        <v>171</v>
      </c>
      <c r="H52" s="99">
        <f>D52</f>
        <v>2796</v>
      </c>
      <c r="I52" s="99" t="s">
        <v>172</v>
      </c>
      <c r="J52" s="99">
        <f>F52</f>
        <v>4037</v>
      </c>
    </row>
    <row r="53" spans="1:12" x14ac:dyDescent="0.2">
      <c r="A53" s="40" t="s">
        <v>147</v>
      </c>
      <c r="C53" s="26">
        <f>20877-1562-4037</f>
        <v>15278</v>
      </c>
      <c r="D53" s="26">
        <f>8335+500-1082-2796</f>
        <v>4957</v>
      </c>
      <c r="E53" s="26">
        <f>2100+20761-1562-4037</f>
        <v>17262</v>
      </c>
      <c r="F53" s="26">
        <v>7157</v>
      </c>
      <c r="G53" s="99">
        <f t="shared" si="7"/>
        <v>116.62595419847328</v>
      </c>
      <c r="H53" s="99">
        <f t="shared" si="8"/>
        <v>101.16326530612245</v>
      </c>
      <c r="I53" s="99">
        <f t="shared" si="8"/>
        <v>150.10434782608695</v>
      </c>
      <c r="J53" s="99">
        <f t="shared" si="8"/>
        <v>71.569999999999993</v>
      </c>
      <c r="K53" s="2">
        <f t="shared" si="9"/>
        <v>109.86589183267067</v>
      </c>
      <c r="L53" s="2" t="s">
        <v>160</v>
      </c>
    </row>
    <row r="54" spans="1:12" x14ac:dyDescent="0.2">
      <c r="A54" s="40"/>
      <c r="C54" s="26"/>
      <c r="D54" s="26"/>
      <c r="E54" s="26"/>
      <c r="F54" s="26"/>
    </row>
    <row r="55" spans="1:12" ht="15.75" thickBot="1" x14ac:dyDescent="0.3">
      <c r="A55" s="39" t="s">
        <v>148</v>
      </c>
      <c r="C55" s="98">
        <f>SUM(C50:C54)</f>
        <v>26627</v>
      </c>
      <c r="D55" s="98">
        <f>SUM(D50:D54)</f>
        <v>12765</v>
      </c>
      <c r="E55" s="98">
        <f>SUM(E50:E54)</f>
        <v>29861</v>
      </c>
      <c r="F55" s="98">
        <f>SUM(F50:F54)</f>
        <v>18430</v>
      </c>
      <c r="H55" s="25"/>
    </row>
    <row r="56" spans="1:12" x14ac:dyDescent="0.2">
      <c r="A56" s="40"/>
      <c r="C56" s="26"/>
      <c r="D56" s="26"/>
      <c r="E56" s="26"/>
      <c r="F56" s="26"/>
    </row>
    <row r="57" spans="1:12" x14ac:dyDescent="0.2">
      <c r="A57" s="39" t="s">
        <v>149</v>
      </c>
      <c r="C57" s="26"/>
      <c r="D57" s="26"/>
      <c r="E57" s="26"/>
      <c r="F57" s="26"/>
    </row>
    <row r="58" spans="1:12" x14ac:dyDescent="0.2">
      <c r="A58" s="40" t="s">
        <v>124</v>
      </c>
      <c r="C58" s="27">
        <v>0</v>
      </c>
      <c r="D58" s="27">
        <v>0</v>
      </c>
      <c r="E58" s="27">
        <v>0</v>
      </c>
      <c r="F58" s="27">
        <v>0</v>
      </c>
    </row>
    <row r="59" spans="1:12" x14ac:dyDescent="0.2">
      <c r="A59" s="40" t="s">
        <v>125</v>
      </c>
      <c r="C59" s="27">
        <v>0</v>
      </c>
      <c r="D59" s="27">
        <v>0</v>
      </c>
      <c r="E59" s="27">
        <v>0</v>
      </c>
      <c r="F59" s="27">
        <v>0</v>
      </c>
    </row>
    <row r="60" spans="1:12" x14ac:dyDescent="0.2">
      <c r="A60" s="40"/>
      <c r="C60" s="26"/>
      <c r="D60" s="26"/>
      <c r="E60" s="26"/>
      <c r="F60" s="26"/>
    </row>
    <row r="61" spans="1:12" ht="15.75" thickBot="1" x14ac:dyDescent="0.3">
      <c r="A61" s="39" t="s">
        <v>150</v>
      </c>
      <c r="C61" s="98">
        <f>SUM(C58:C60)</f>
        <v>0</v>
      </c>
      <c r="D61" s="98">
        <f>SUM(D58:D60)</f>
        <v>0</v>
      </c>
      <c r="E61" s="98">
        <f>SUM(E58:E60)</f>
        <v>0</v>
      </c>
      <c r="F61" s="98">
        <f>SUM(F58:F60)</f>
        <v>0</v>
      </c>
    </row>
    <row r="62" spans="1:12" x14ac:dyDescent="0.2">
      <c r="A62" s="40"/>
      <c r="C62" s="26"/>
      <c r="D62" s="26"/>
      <c r="E62" s="26"/>
      <c r="F62" s="26"/>
    </row>
    <row r="63" spans="1:12" x14ac:dyDescent="0.2">
      <c r="A63" s="39" t="s">
        <v>104</v>
      </c>
      <c r="C63" s="26"/>
      <c r="D63" s="26"/>
      <c r="E63" s="26"/>
      <c r="F63" s="26"/>
    </row>
    <row r="64" spans="1:12" x14ac:dyDescent="0.2">
      <c r="A64" s="40" t="s">
        <v>126</v>
      </c>
      <c r="C64" s="27">
        <v>0</v>
      </c>
      <c r="D64" s="27">
        <v>0</v>
      </c>
      <c r="E64" s="27">
        <v>0</v>
      </c>
      <c r="F64" s="27">
        <v>0</v>
      </c>
    </row>
    <row r="65" spans="1:12" x14ac:dyDescent="0.2">
      <c r="A65" s="40"/>
      <c r="C65" s="26"/>
      <c r="D65" s="26"/>
      <c r="E65" s="26"/>
      <c r="F65" s="26"/>
    </row>
    <row r="66" spans="1:12" ht="15.75" thickBot="1" x14ac:dyDescent="0.3">
      <c r="A66" s="39" t="s">
        <v>151</v>
      </c>
      <c r="C66" s="98">
        <f>SUM(C63:C65)</f>
        <v>0</v>
      </c>
      <c r="D66" s="98">
        <f>SUM(D63:D65)</f>
        <v>0</v>
      </c>
      <c r="E66" s="98">
        <f>SUM(E63:E65)</f>
        <v>0</v>
      </c>
      <c r="F66" s="98">
        <f>SUM(F63:F65)</f>
        <v>0</v>
      </c>
    </row>
    <row r="67" spans="1:12" x14ac:dyDescent="0.2">
      <c r="A67" s="40"/>
      <c r="C67" s="26"/>
      <c r="D67" s="26"/>
      <c r="E67" s="26"/>
      <c r="F67" s="26"/>
    </row>
    <row r="68" spans="1:12" x14ac:dyDescent="0.2">
      <c r="A68" s="39" t="s">
        <v>105</v>
      </c>
      <c r="C68" s="26"/>
      <c r="D68" s="26"/>
      <c r="E68" s="26"/>
      <c r="F68" s="26"/>
    </row>
    <row r="69" spans="1:12" x14ac:dyDescent="0.2">
      <c r="A69" s="40" t="s">
        <v>127</v>
      </c>
      <c r="C69" s="26">
        <v>0</v>
      </c>
      <c r="D69" s="26">
        <v>0</v>
      </c>
      <c r="E69" s="26">
        <v>-25000</v>
      </c>
      <c r="F69" s="26">
        <v>0</v>
      </c>
    </row>
    <row r="70" spans="1:12" x14ac:dyDescent="0.2">
      <c r="A70" s="40" t="s">
        <v>128</v>
      </c>
      <c r="C70" s="26">
        <f>-400-4000-2500-11000-2500</f>
        <v>-20400</v>
      </c>
      <c r="D70" s="26">
        <v>-12000</v>
      </c>
      <c r="E70" s="26">
        <v>0</v>
      </c>
      <c r="F70" s="26">
        <v>-12000</v>
      </c>
      <c r="G70" s="99">
        <f>C70/C6</f>
        <v>-155.72519083969465</v>
      </c>
      <c r="H70" s="99">
        <f t="shared" ref="H70:J70" si="10">D70/D6</f>
        <v>-244.89795918367346</v>
      </c>
      <c r="I70" s="99">
        <f t="shared" si="10"/>
        <v>0</v>
      </c>
      <c r="J70" s="99">
        <f t="shared" si="10"/>
        <v>-120</v>
      </c>
      <c r="K70" s="2">
        <f t="shared" ref="K70" si="11">SUM(G70:J70)/4</f>
        <v>-130.15578750584203</v>
      </c>
      <c r="L70" s="2" t="s">
        <v>160</v>
      </c>
    </row>
    <row r="71" spans="1:12" x14ac:dyDescent="0.2">
      <c r="A71" s="40" t="s">
        <v>152</v>
      </c>
      <c r="C71" s="27"/>
      <c r="D71" s="27"/>
      <c r="E71" s="27"/>
      <c r="F71" s="27"/>
    </row>
    <row r="72" spans="1:12" x14ac:dyDescent="0.2">
      <c r="A72" s="40"/>
      <c r="C72" s="26"/>
      <c r="D72" s="26"/>
      <c r="E72" s="26"/>
      <c r="F72" s="26"/>
    </row>
    <row r="73" spans="1:12" ht="15.75" thickBot="1" x14ac:dyDescent="0.3">
      <c r="A73" s="39" t="s">
        <v>153</v>
      </c>
      <c r="C73" s="98">
        <f>SUM(C69:C72)</f>
        <v>-20400</v>
      </c>
      <c r="D73" s="98">
        <f>SUM(D69:D72)</f>
        <v>-12000</v>
      </c>
      <c r="E73" s="98">
        <f>SUM(E69:E72)</f>
        <v>-25000</v>
      </c>
      <c r="F73" s="98">
        <f>SUM(F69:F72)</f>
        <v>-12000</v>
      </c>
    </row>
    <row r="74" spans="1:12" x14ac:dyDescent="0.2">
      <c r="A74" s="33"/>
      <c r="C74" s="26"/>
      <c r="D74" s="26"/>
      <c r="E74" s="26"/>
      <c r="F74" s="26"/>
    </row>
    <row r="75" spans="1:12" x14ac:dyDescent="0.2">
      <c r="A75" s="33"/>
      <c r="C75" s="4"/>
      <c r="D75" s="4"/>
      <c r="E75" s="4"/>
      <c r="F75" s="4"/>
    </row>
    <row r="76" spans="1:12" x14ac:dyDescent="0.2">
      <c r="A76" s="33" t="s">
        <v>262</v>
      </c>
      <c r="C76" s="3">
        <v>2196.7449999999999</v>
      </c>
      <c r="D76" s="3">
        <v>673.14700000000005</v>
      </c>
      <c r="E76" s="3">
        <v>977.399</v>
      </c>
      <c r="F76" s="3">
        <v>678.54300000000001</v>
      </c>
    </row>
    <row r="77" spans="1:12" x14ac:dyDescent="0.2">
      <c r="A77" s="33"/>
      <c r="C77" s="4"/>
      <c r="D77" s="4"/>
      <c r="E77" s="4"/>
      <c r="F77" s="4"/>
    </row>
    <row r="78" spans="1:12" x14ac:dyDescent="0.2">
      <c r="A78" s="33"/>
      <c r="C78" s="4"/>
      <c r="D78" s="4"/>
      <c r="E78" s="4"/>
      <c r="F78" s="4"/>
    </row>
    <row r="79" spans="1:12" x14ac:dyDescent="0.2">
      <c r="A79" s="33"/>
      <c r="C79" s="4"/>
      <c r="D79" s="4"/>
      <c r="E79" s="4"/>
      <c r="F79" s="4"/>
    </row>
    <row r="80" spans="1:12" x14ac:dyDescent="0.2">
      <c r="A80" s="33"/>
      <c r="C80" s="4"/>
      <c r="D80" s="4"/>
      <c r="E80" s="4"/>
      <c r="F80" s="4"/>
    </row>
    <row r="81" spans="1:6" x14ac:dyDescent="0.2">
      <c r="A81" s="33"/>
      <c r="C81" s="4"/>
      <c r="D81" s="4"/>
      <c r="E81" s="4"/>
      <c r="F81" s="4"/>
    </row>
    <row r="82" spans="1:6" x14ac:dyDescent="0.2">
      <c r="A82" s="33"/>
      <c r="C82" s="4"/>
      <c r="D82" s="4"/>
      <c r="E82" s="4"/>
      <c r="F82" s="4"/>
    </row>
    <row r="83" spans="1:6" x14ac:dyDescent="0.2">
      <c r="A83" s="33"/>
      <c r="C83" s="4"/>
      <c r="D83" s="4"/>
      <c r="E83" s="4"/>
      <c r="F83" s="4"/>
    </row>
    <row r="84" spans="1:6" x14ac:dyDescent="0.2">
      <c r="A84" s="33"/>
      <c r="C84" s="4"/>
      <c r="D84" s="4"/>
      <c r="E84" s="4"/>
      <c r="F84" s="4"/>
    </row>
    <row r="85" spans="1:6" x14ac:dyDescent="0.2">
      <c r="A85" s="33"/>
      <c r="C85" s="4"/>
      <c r="D85" s="4"/>
      <c r="E85" s="4"/>
      <c r="F85" s="4"/>
    </row>
    <row r="86" spans="1:6" x14ac:dyDescent="0.2">
      <c r="A86" s="33"/>
      <c r="C86" s="4"/>
      <c r="D86" s="4"/>
      <c r="E86" s="4"/>
      <c r="F86" s="4"/>
    </row>
    <row r="87" spans="1:6" x14ac:dyDescent="0.2">
      <c r="A87" s="33"/>
    </row>
    <row r="88" spans="1:6" x14ac:dyDescent="0.2">
      <c r="A88" s="33"/>
    </row>
    <row r="89" spans="1:6" x14ac:dyDescent="0.2">
      <c r="A89" s="33"/>
    </row>
  </sheetData>
  <sheetProtection password="CAF3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Overview</vt:lpstr>
      <vt:lpstr>1. Schools Data Sheet</vt:lpstr>
      <vt:lpstr>2. Projected Funding</vt:lpstr>
      <vt:lpstr>Staffing Base Data</vt:lpstr>
      <vt:lpstr>3. Projected Schools Budget</vt:lpstr>
      <vt:lpstr>Funding Base Data</vt:lpstr>
      <vt:lpstr>Expenditure Base Data</vt:lpstr>
      <vt:lpstr>'1. Schools Data Sheet'!Print_Area</vt:lpstr>
      <vt:lpstr>'2. Projected Funding'!Print_Area</vt:lpstr>
      <vt:lpstr>'3. Projected Schools Budget'!Print_Area</vt:lpstr>
      <vt:lpstr>Overview!Print_Area</vt:lpstr>
      <vt:lpstr>'3. Projected Schools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DB;Andrew Martin;Yolanda Morley-McKay;Dave Bagley - DRB</dc:creator>
  <cp:lastModifiedBy>Jeff Turnbull</cp:lastModifiedBy>
  <cp:lastPrinted>2016-01-10T22:52:23Z</cp:lastPrinted>
  <dcterms:created xsi:type="dcterms:W3CDTF">2015-08-20T12:13:50Z</dcterms:created>
  <dcterms:modified xsi:type="dcterms:W3CDTF">2017-02-27T16:33:45Z</dcterms:modified>
</cp:coreProperties>
</file>